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 tabRatio="906" firstSheet="1" activeTab="2"/>
  </bookViews>
  <sheets>
    <sheet name="000000" sheetId="4" state="veryHidden" r:id="rId1"/>
    <sheet name="Бух баланс" sheetId="2" r:id="rId2"/>
    <sheet name="Мол нат" sheetId="34" r:id="rId3"/>
    <sheet name="Лист1" sheetId="206" state="hidden" r:id="rId4"/>
    <sheet name="25 АПК" sheetId="155" state="hidden" r:id="rId5"/>
    <sheet name="Товар продукц" sheetId="177" state="hidden" r:id="rId6"/>
    <sheet name="Вспом-1" sheetId="178" state="hidden" r:id="rId7"/>
    <sheet name="Вспом-2" sheetId="179" state="hidden" r:id="rId8"/>
    <sheet name="Баланс продукции" sheetId="200" state="hidden" r:id="rId9"/>
    <sheet name="Вспом-1 Ур" sheetId="183" state="hidden" r:id="rId10"/>
    <sheet name="Вспом-2 Ур" sheetId="184" state="hidden" r:id="rId11"/>
    <sheet name="73-ХЛ" sheetId="188" state="hidden" r:id="rId12"/>
    <sheet name="Отклон" sheetId="181" state="hidden" r:id="rId13"/>
    <sheet name="Тех экон пок" sheetId="185" state="hidden" r:id="rId14"/>
    <sheet name="тола бал" sheetId="166" state="hidden" r:id="rId15"/>
    <sheet name="линт бал." sheetId="168" state="hidden" r:id="rId16"/>
    <sheet name="улбк бал." sheetId="170" state="hidden" r:id="rId17"/>
    <sheet name="пух бал." sheetId="172" state="hidden" r:id="rId18"/>
    <sheet name="техчигит бал" sheetId="174" state="hidden" r:id="rId19"/>
    <sheet name="уругл бал" sheetId="176" state="hidden" r:id="rId20"/>
    <sheet name="уруг олди-берди" sheetId="201" state="hidden" r:id="rId21"/>
    <sheet name="уруг хуж" sheetId="202" state="hidden" r:id="rId22"/>
    <sheet name="Мол натга илова" sheetId="109" state="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>#N/A</definedName>
    <definedName name="__">#N/A</definedName>
    <definedName name="___">#N/A</definedName>
    <definedName name="_Begin" localSheetId="13">'[1]Форма №2а'!#REF!</definedName>
    <definedName name="_Begin" localSheetId="20">'[2]Форма №2а'!#REF!</definedName>
    <definedName name="_Begin" localSheetId="21">'[2]Форма №2а'!#REF!</definedName>
    <definedName name="_Begin">'[1]Форма №2а'!#REF!</definedName>
    <definedName name="_End" localSheetId="13">'[1]Форма №2а'!#REF!</definedName>
    <definedName name="_End" localSheetId="20">'[2]Форма №2а'!#REF!</definedName>
    <definedName name="_End" localSheetId="21">'[2]Форма №2а'!#REF!</definedName>
    <definedName name="_End">'[1]Форма №2а'!#REF!</definedName>
    <definedName name="_StartInsert" localSheetId="13">'[1]Форма №2а'!#REF!</definedName>
    <definedName name="_StartInsert" localSheetId="20">'[2]Форма №2а'!#REF!</definedName>
    <definedName name="_StartInsert" localSheetId="21">'[2]Форма №2а'!#REF!</definedName>
    <definedName name="_StartInsert">'[1]Форма №2а'!#REF!</definedName>
    <definedName name="_xlnm._FilterDatabase" localSheetId="8" hidden="1">'Баланс продукции'!$A$8:$AD$8</definedName>
    <definedName name="_xlnm._FilterDatabase" localSheetId="1" hidden="1">'Бух баланс'!#REF!</definedName>
    <definedName name="a_010_03o" localSheetId="20">#REF!</definedName>
    <definedName name="a_010_03o" localSheetId="21">#REF!</definedName>
    <definedName name="a_010_03o">#REF!</definedName>
    <definedName name="a_010_04o" localSheetId="20">#REF!</definedName>
    <definedName name="a_010_04o" localSheetId="21">#REF!</definedName>
    <definedName name="a_010_04o">#REF!</definedName>
    <definedName name="a_010_05o" localSheetId="20">#REF!</definedName>
    <definedName name="a_010_05o" localSheetId="21">#REF!</definedName>
    <definedName name="a_010_05o">#REF!</definedName>
    <definedName name="a_010_06o" localSheetId="20">#REF!</definedName>
    <definedName name="a_010_06o" localSheetId="21">#REF!</definedName>
    <definedName name="a_010_06o">#REF!</definedName>
    <definedName name="a_010_07o" localSheetId="20">#REF!</definedName>
    <definedName name="a_010_07o" localSheetId="21">#REF!</definedName>
    <definedName name="a_010_07o">#REF!</definedName>
    <definedName name="a_010_08o" localSheetId="20">#REF!</definedName>
    <definedName name="a_010_08o" localSheetId="21">#REF!</definedName>
    <definedName name="a_010_08o">#REF!</definedName>
    <definedName name="a_020_03o" localSheetId="20">#REF!</definedName>
    <definedName name="a_020_03o" localSheetId="21">#REF!</definedName>
    <definedName name="a_020_03o">#REF!</definedName>
    <definedName name="a_020_04o" localSheetId="20">#REF!</definedName>
    <definedName name="a_020_04o" localSheetId="21">#REF!</definedName>
    <definedName name="a_020_04o">#REF!</definedName>
    <definedName name="a_020_05o" localSheetId="20">#REF!</definedName>
    <definedName name="a_020_05o" localSheetId="21">#REF!</definedName>
    <definedName name="a_020_05o">#REF!</definedName>
    <definedName name="a_020_06o" localSheetId="20">#REF!</definedName>
    <definedName name="a_020_06o" localSheetId="21">#REF!</definedName>
    <definedName name="a_020_06o">#REF!</definedName>
    <definedName name="a_020_07o" localSheetId="20">#REF!</definedName>
    <definedName name="a_020_07o" localSheetId="21">#REF!</definedName>
    <definedName name="a_020_07o">#REF!</definedName>
    <definedName name="a_020_08o" localSheetId="20">#REF!</definedName>
    <definedName name="a_020_08o" localSheetId="21">#REF!</definedName>
    <definedName name="a_020_08o">#REF!</definedName>
    <definedName name="a_030_03o" localSheetId="20">#REF!</definedName>
    <definedName name="a_030_03o" localSheetId="21">#REF!</definedName>
    <definedName name="a_030_03o">#REF!</definedName>
    <definedName name="a_030_04o" localSheetId="20">#REF!</definedName>
    <definedName name="a_030_04o" localSheetId="21">#REF!</definedName>
    <definedName name="a_030_04o">#REF!</definedName>
    <definedName name="a_030_05o" localSheetId="20">#REF!</definedName>
    <definedName name="a_030_05o" localSheetId="21">#REF!</definedName>
    <definedName name="a_030_05o">#REF!</definedName>
    <definedName name="a_030_06o" localSheetId="20">#REF!</definedName>
    <definedName name="a_030_06o" localSheetId="21">#REF!</definedName>
    <definedName name="a_030_06o">#REF!</definedName>
    <definedName name="a_030_07o" localSheetId="20">#REF!</definedName>
    <definedName name="a_030_07o" localSheetId="21">#REF!</definedName>
    <definedName name="a_030_07o">#REF!</definedName>
    <definedName name="a_030_08o" localSheetId="20">#REF!</definedName>
    <definedName name="a_030_08o" localSheetId="21">#REF!</definedName>
    <definedName name="a_030_08o">#REF!</definedName>
    <definedName name="a_040_04o" localSheetId="20">#REF!</definedName>
    <definedName name="a_040_04o" localSheetId="21">#REF!</definedName>
    <definedName name="a_040_04o">#REF!</definedName>
    <definedName name="a_040_08o" localSheetId="20">#REF!</definedName>
    <definedName name="a_040_08o" localSheetId="21">#REF!</definedName>
    <definedName name="a_040_08o">#REF!</definedName>
    <definedName name="a_050_05o" localSheetId="20">#REF!</definedName>
    <definedName name="a_050_05o" localSheetId="21">#REF!</definedName>
    <definedName name="a_050_05o">#REF!</definedName>
    <definedName name="a_050_07o" localSheetId="20">#REF!</definedName>
    <definedName name="a_050_07o" localSheetId="21">#REF!</definedName>
    <definedName name="a_050_07o">#REF!</definedName>
    <definedName name="a_050_08o" localSheetId="20">#REF!</definedName>
    <definedName name="a_050_08o" localSheetId="21">#REF!</definedName>
    <definedName name="a_050_08o">#REF!</definedName>
    <definedName name="a_060_03o" localSheetId="20">#REF!</definedName>
    <definedName name="a_060_03o" localSheetId="21">#REF!</definedName>
    <definedName name="a_060_03o">#REF!</definedName>
    <definedName name="a_060_04o" localSheetId="20">#REF!</definedName>
    <definedName name="a_060_04o" localSheetId="21">#REF!</definedName>
    <definedName name="a_060_04o">#REF!</definedName>
    <definedName name="a_060_05o" localSheetId="20">#REF!</definedName>
    <definedName name="a_060_05o" localSheetId="21">#REF!</definedName>
    <definedName name="a_060_05o">#REF!</definedName>
    <definedName name="a_060_06o" localSheetId="20">#REF!</definedName>
    <definedName name="a_060_06o" localSheetId="21">#REF!</definedName>
    <definedName name="a_060_06o">#REF!</definedName>
    <definedName name="a_060_07o" localSheetId="20">#REF!</definedName>
    <definedName name="a_060_07o" localSheetId="21">#REF!</definedName>
    <definedName name="a_060_07o">#REF!</definedName>
    <definedName name="a_060_08o" localSheetId="20">#REF!</definedName>
    <definedName name="a_060_08o" localSheetId="21">#REF!</definedName>
    <definedName name="a_060_08o">#REF!</definedName>
    <definedName name="a_070_08o" localSheetId="20">#REF!</definedName>
    <definedName name="a_070_08o" localSheetId="21">#REF!</definedName>
    <definedName name="a_070_08o">#REF!</definedName>
    <definedName name="a_080_03o" localSheetId="20">#REF!</definedName>
    <definedName name="a_080_03o" localSheetId="21">#REF!</definedName>
    <definedName name="a_080_03o">#REF!</definedName>
    <definedName name="a_080_04o" localSheetId="20">#REF!</definedName>
    <definedName name="a_080_04o" localSheetId="21">#REF!</definedName>
    <definedName name="a_080_04o">#REF!</definedName>
    <definedName name="a_080_05o" localSheetId="20">#REF!</definedName>
    <definedName name="a_080_05o" localSheetId="21">#REF!</definedName>
    <definedName name="a_080_05o">#REF!</definedName>
    <definedName name="a_080_06o" localSheetId="20">#REF!</definedName>
    <definedName name="a_080_06o" localSheetId="21">#REF!</definedName>
    <definedName name="a_080_06o">#REF!</definedName>
    <definedName name="a_080_07o" localSheetId="20">#REF!</definedName>
    <definedName name="a_080_07o" localSheetId="21">#REF!</definedName>
    <definedName name="a_080_07o">#REF!</definedName>
    <definedName name="a_080_08o" localSheetId="20">#REF!</definedName>
    <definedName name="a_080_08o" localSheetId="21">#REF!</definedName>
    <definedName name="a_080_08o">#REF!</definedName>
    <definedName name="a_090_08o" localSheetId="20">#REF!</definedName>
    <definedName name="a_090_08o" localSheetId="21">#REF!</definedName>
    <definedName name="a_090_08o">#REF!</definedName>
    <definedName name="a_100_08o" localSheetId="20">#REF!</definedName>
    <definedName name="a_100_08o" localSheetId="21">#REF!</definedName>
    <definedName name="a_100_08o">#REF!</definedName>
    <definedName name="a_101_08o" localSheetId="20">#REF!</definedName>
    <definedName name="a_101_08o" localSheetId="21">#REF!</definedName>
    <definedName name="a_101_08o">#REF!</definedName>
    <definedName name="a_102_08o" localSheetId="20">#REF!</definedName>
    <definedName name="a_102_08o" localSheetId="21">#REF!</definedName>
    <definedName name="a_102_08o">#REF!</definedName>
    <definedName name="a_110_08o" localSheetId="20">#REF!</definedName>
    <definedName name="a_110_08o" localSheetId="21">#REF!</definedName>
    <definedName name="a_110_08o">#REF!</definedName>
    <definedName name="a_111_08o" localSheetId="20">#REF!</definedName>
    <definedName name="a_111_08o" localSheetId="21">#REF!</definedName>
    <definedName name="a_111_08o">#REF!</definedName>
    <definedName name="a_112_08o" localSheetId="20">#REF!</definedName>
    <definedName name="a_112_08o" localSheetId="21">#REF!</definedName>
    <definedName name="a_112_08o">#REF!</definedName>
    <definedName name="a_120_08o" localSheetId="20">#REF!</definedName>
    <definedName name="a_120_08o" localSheetId="21">#REF!</definedName>
    <definedName name="a_120_08o">#REF!</definedName>
    <definedName name="a_121_08o" localSheetId="20">#REF!</definedName>
    <definedName name="a_121_08o" localSheetId="21">#REF!</definedName>
    <definedName name="a_121_08o">#REF!</definedName>
    <definedName name="a_122_08o" localSheetId="20">#REF!</definedName>
    <definedName name="a_122_08o" localSheetId="21">#REF!</definedName>
    <definedName name="a_122_08o">#REF!</definedName>
    <definedName name="BeginDebKred" localSheetId="13">'[1]Форма №2а'!#REF!</definedName>
    <definedName name="BeginDebKred" localSheetId="20">'[2]Форма №2а'!#REF!</definedName>
    <definedName name="BeginDebKred" localSheetId="21">'[2]Форма №2а'!#REF!</definedName>
    <definedName name="BeginDebKred">'[1]Форма №2а'!#REF!</definedName>
    <definedName name="cntNumber" localSheetId="20">'[3]Счет-Фактура'!#REF!</definedName>
    <definedName name="cntNumber" localSheetId="21">'[3]Счет-Фактура'!#REF!</definedName>
    <definedName name="cntNumber">'[3]Счет-Фактура'!#REF!</definedName>
    <definedName name="cntPayerCountCor" localSheetId="20">'[3]Счет-Фактура'!#REF!</definedName>
    <definedName name="cntPayerCountCor" localSheetId="21">'[3]Счет-Фактура'!#REF!</definedName>
    <definedName name="cntPayerCountCor">'[3]Счет-Фактура'!#REF!</definedName>
    <definedName name="cntQnt" localSheetId="21">'[3]Счет-Фактура'!#REF!</definedName>
    <definedName name="cntQnt">'[3]Счет-Фактура'!#REF!</definedName>
    <definedName name="cntSuppAddr2" localSheetId="21">'[3]Счет-Фактура'!#REF!</definedName>
    <definedName name="cntSuppAddr2">'[3]Счет-Фактура'!#REF!</definedName>
    <definedName name="cntSuppMFO1" localSheetId="21">'[3]Счет-Фактура'!#REF!</definedName>
    <definedName name="cntSuppMFO1">'[3]Счет-Фактура'!#REF!</definedName>
    <definedName name="cntUnit" localSheetId="21">'[3]Счет-Фактура'!#REF!</definedName>
    <definedName name="cntUnit">'[3]Счет-Фактура'!#REF!</definedName>
    <definedName name="elkAddr1" localSheetId="20">#REF!</definedName>
    <definedName name="elkAddr1" localSheetId="21">#REF!</definedName>
    <definedName name="elkAddr1">#REF!</definedName>
    <definedName name="elkAddr2" localSheetId="20">#REF!</definedName>
    <definedName name="elkAddr2" localSheetId="21">#REF!</definedName>
    <definedName name="elkAddr2">#REF!</definedName>
    <definedName name="elkCount" localSheetId="20">#REF!</definedName>
    <definedName name="elkCount" localSheetId="21">#REF!</definedName>
    <definedName name="elkCount">#REF!</definedName>
    <definedName name="elkCountFrom" localSheetId="20">#REF!</definedName>
    <definedName name="elkCountFrom" localSheetId="21">#REF!</definedName>
    <definedName name="elkCountFrom">#REF!</definedName>
    <definedName name="elkCountTo" localSheetId="20">#REF!</definedName>
    <definedName name="elkCountTo" localSheetId="21">#REF!</definedName>
    <definedName name="elkCountTo">#REF!</definedName>
    <definedName name="elkDateFrom" localSheetId="20">#REF!</definedName>
    <definedName name="elkDateFrom" localSheetId="21">#REF!</definedName>
    <definedName name="elkDateFrom">#REF!</definedName>
    <definedName name="elkDateTo" localSheetId="20">#REF!</definedName>
    <definedName name="elkDateTo" localSheetId="21">#REF!</definedName>
    <definedName name="elkDateTo">#REF!</definedName>
    <definedName name="elkDiscount" localSheetId="20">#REF!</definedName>
    <definedName name="elkDiscount" localSheetId="21">#REF!</definedName>
    <definedName name="elkDiscount">#REF!</definedName>
    <definedName name="elkKAddr1" localSheetId="20">#REF!</definedName>
    <definedName name="elkKAddr1" localSheetId="21">#REF!</definedName>
    <definedName name="elkKAddr1">#REF!</definedName>
    <definedName name="elkKAddr2" localSheetId="20">#REF!</definedName>
    <definedName name="elkKAddr2" localSheetId="21">#REF!</definedName>
    <definedName name="elkKAddr2">#REF!</definedName>
    <definedName name="elkKCount" localSheetId="20">#REF!</definedName>
    <definedName name="elkKCount" localSheetId="21">#REF!</definedName>
    <definedName name="elkKCount">#REF!</definedName>
    <definedName name="elkKCountFrom" localSheetId="20">#REF!</definedName>
    <definedName name="elkKCountFrom" localSheetId="21">#REF!</definedName>
    <definedName name="elkKCountFrom">#REF!</definedName>
    <definedName name="elkKCountTo" localSheetId="20">#REF!</definedName>
    <definedName name="elkKCountTo" localSheetId="21">#REF!</definedName>
    <definedName name="elkKCountTo">#REF!</definedName>
    <definedName name="elkKDateFrom" localSheetId="20">#REF!</definedName>
    <definedName name="elkKDateFrom" localSheetId="21">#REF!</definedName>
    <definedName name="elkKDateFrom">#REF!</definedName>
    <definedName name="elkKDateTo" localSheetId="20">#REF!</definedName>
    <definedName name="elkKDateTo" localSheetId="21">#REF!</definedName>
    <definedName name="elkKDateTo">#REF!</definedName>
    <definedName name="elkKDiscount" localSheetId="20">#REF!</definedName>
    <definedName name="elkKDiscount" localSheetId="21">#REF!</definedName>
    <definedName name="elkKDiscount">#REF!</definedName>
    <definedName name="elkKNumber" localSheetId="20">#REF!</definedName>
    <definedName name="elkKNumber" localSheetId="21">#REF!</definedName>
    <definedName name="elkKNumber">#REF!</definedName>
    <definedName name="elkKSumC" localSheetId="20">#REF!</definedName>
    <definedName name="elkKSumC" localSheetId="21">#REF!</definedName>
    <definedName name="elkKSumC">#REF!</definedName>
    <definedName name="elkKSumR" localSheetId="20">#REF!</definedName>
    <definedName name="elkKSumR" localSheetId="21">#REF!</definedName>
    <definedName name="elkKSumR">#REF!</definedName>
    <definedName name="elkKTarif" localSheetId="20">#REF!</definedName>
    <definedName name="elkKTarif" localSheetId="21">#REF!</definedName>
    <definedName name="elkKTarif">#REF!</definedName>
    <definedName name="elkNumber" localSheetId="20">#REF!</definedName>
    <definedName name="elkNumber" localSheetId="21">#REF!</definedName>
    <definedName name="elkNumber">#REF!</definedName>
    <definedName name="elkSumC" localSheetId="20">#REF!</definedName>
    <definedName name="elkSumC" localSheetId="21">#REF!</definedName>
    <definedName name="elkSumC">#REF!</definedName>
    <definedName name="elkSumR" localSheetId="20">#REF!</definedName>
    <definedName name="elkSumR" localSheetId="21">#REF!</definedName>
    <definedName name="elkSumR">#REF!</definedName>
    <definedName name="elkTarif" localSheetId="20">#REF!</definedName>
    <definedName name="elkTarif" localSheetId="21">#REF!</definedName>
    <definedName name="elkTarif">#REF!</definedName>
    <definedName name="FFFF">#N/A</definedName>
    <definedName name="InnCol" localSheetId="20">'[2]Форма №2а'!$A$2,'[2]Форма №2а'!$C$1:$C$65536</definedName>
    <definedName name="InnCol" localSheetId="21">'[2]Форма №2а'!$A$2,'[2]Форма №2а'!$C$1:$C$65536</definedName>
    <definedName name="InnCol">'[1]Форма №2а'!$A$2,'[1]Форма №2а'!$C$1:$C$65536</definedName>
    <definedName name="StartDebCred" localSheetId="13">'[1]Форма №2а'!#REF!</definedName>
    <definedName name="StartDebCred" localSheetId="20">'[2]Форма №2а'!#REF!</definedName>
    <definedName name="StartDebCred" localSheetId="21">'[2]Форма №2а'!#REF!</definedName>
    <definedName name="StartDebCred">'[1]Форма №2а'!#REF!</definedName>
    <definedName name="А" localSheetId="8">#REF!</definedName>
    <definedName name="А" localSheetId="20">#REF!</definedName>
    <definedName name="А" localSheetId="21">#REF!</definedName>
    <definedName name="А">#REF!</definedName>
    <definedName name="_xlnm.Print_Titles" localSheetId="2">'Мол нат'!$A:$A</definedName>
    <definedName name="_xlnm.Print_Titles" localSheetId="22">'Мол натга илова'!$A:$A</definedName>
    <definedName name="_xlnm.Print_Titles" localSheetId="20">'уруг олди-берди'!$5:$5</definedName>
    <definedName name="_xlnm.Print_Titles" localSheetId="21">'уруг хуж'!$5:$5</definedName>
    <definedName name="_xlnm.Print_Area" localSheetId="4">'25 АПК'!#REF!</definedName>
    <definedName name="_xlnm.Print_Area" localSheetId="11">'73-ХЛ'!$A$1:$J$432</definedName>
    <definedName name="_xlnm.Print_Area" localSheetId="6">'Вспом-1'!#REF!</definedName>
    <definedName name="_xlnm.Print_Area" localSheetId="9">'Вспом-1 Ур'!#REF!</definedName>
    <definedName name="_xlnm.Print_Area" localSheetId="7">'Вспом-2'!$A$2:$W$13</definedName>
    <definedName name="_xlnm.Print_Area" localSheetId="10">'Вспом-2 Ур'!$A$2:$W$13</definedName>
    <definedName name="_xlnm.Print_Area" localSheetId="22">'Мол натга илова'!$A$2:$F$33</definedName>
    <definedName name="_xlnm.Print_Area" localSheetId="12">Отклон!$A$2:$D$38</definedName>
    <definedName name="_xlnm.Print_Area" localSheetId="13">'Тех экон пок'!$A$2:$BD$14</definedName>
    <definedName name="_xlnm.Print_Area" localSheetId="5">'Товар продукц'!#REF!</definedName>
  </definedNames>
  <calcPr calcId="162913"/>
</workbook>
</file>

<file path=xl/calcChain.xml><?xml version="1.0" encoding="utf-8"?>
<calcChain xmlns="http://schemas.openxmlformats.org/spreadsheetml/2006/main">
  <c r="C43" i="34" l="1"/>
  <c r="D36" i="34"/>
  <c r="C22" i="34"/>
  <c r="AQ136" i="155"/>
  <c r="AK136" i="155"/>
  <c r="AM135" i="155"/>
  <c r="AN135" i="155" s="1"/>
  <c r="AM134" i="155"/>
  <c r="AN134" i="155" s="1"/>
  <c r="AM133" i="155"/>
  <c r="AN133" i="155" s="1"/>
  <c r="AM132" i="155"/>
  <c r="AN132" i="155" s="1"/>
  <c r="AM131" i="155"/>
  <c r="AN131" i="155" s="1"/>
  <c r="AO130" i="155"/>
  <c r="AN130" i="155" s="1"/>
  <c r="AM130" i="155" s="1"/>
  <c r="AL130" i="155"/>
  <c r="AL136" i="155" s="1"/>
  <c r="AM129" i="155"/>
  <c r="AN129" i="155" s="1"/>
  <c r="AM128" i="155"/>
  <c r="AN128" i="155" s="1"/>
  <c r="AM127" i="155"/>
  <c r="AN127" i="155" s="1"/>
  <c r="AM126" i="155"/>
  <c r="AN126" i="155" s="1"/>
  <c r="AN125" i="155"/>
  <c r="AM125" i="155"/>
  <c r="AM124" i="155"/>
  <c r="AN124" i="155" s="1"/>
  <c r="AN123" i="155"/>
  <c r="AM123" i="155"/>
  <c r="AM122" i="155"/>
  <c r="AN122" i="155" s="1"/>
  <c r="AH122" i="155"/>
  <c r="AH123" i="155" s="1"/>
  <c r="AH124" i="155" s="1"/>
  <c r="AH125" i="155" s="1"/>
  <c r="AH126" i="155" s="1"/>
  <c r="AH127" i="155" s="1"/>
  <c r="AH128" i="155" s="1"/>
  <c r="AH129" i="155" s="1"/>
  <c r="AH130" i="155" s="1"/>
  <c r="AH131" i="155" s="1"/>
  <c r="AH132" i="155" s="1"/>
  <c r="AH133" i="155" s="1"/>
  <c r="AH134" i="155" s="1"/>
  <c r="AH135" i="155" s="1"/>
  <c r="AM121" i="155"/>
  <c r="AN121" i="155" s="1"/>
  <c r="AM119" i="155"/>
  <c r="AN119" i="155" s="1"/>
  <c r="AM118" i="155"/>
  <c r="AN118" i="155" s="1"/>
  <c r="AQ117" i="155"/>
  <c r="AK117" i="155"/>
  <c r="AN116" i="155"/>
  <c r="AO116" i="155" s="1"/>
  <c r="AP116" i="155" s="1"/>
  <c r="AO115" i="155"/>
  <c r="AL115" i="155"/>
  <c r="AL117" i="155" s="1"/>
  <c r="AP114" i="155"/>
  <c r="AQ113" i="155"/>
  <c r="AN113" i="155"/>
  <c r="AL113" i="155"/>
  <c r="AM112" i="155"/>
  <c r="AM113" i="155" s="1"/>
  <c r="AK112" i="155"/>
  <c r="AK113" i="155" s="1"/>
  <c r="AQ111" i="155"/>
  <c r="AO110" i="155"/>
  <c r="AP110" i="155" s="1"/>
  <c r="AP109" i="155"/>
  <c r="AN109" i="155"/>
  <c r="AM109" i="155" s="1"/>
  <c r="AE109" i="155" s="1"/>
  <c r="AB109" i="155" s="1"/>
  <c r="AF109" i="155" s="1"/>
  <c r="AO108" i="155"/>
  <c r="AP108" i="155" s="1"/>
  <c r="AK108" i="155"/>
  <c r="AO107" i="155"/>
  <c r="AL107" i="155"/>
  <c r="AK107" i="155"/>
  <c r="AO106" i="155"/>
  <c r="AL106" i="155"/>
  <c r="AK106" i="155"/>
  <c r="AO105" i="155"/>
  <c r="AL105" i="155"/>
  <c r="AK105" i="155"/>
  <c r="AQ103" i="155"/>
  <c r="AQ102" i="155"/>
  <c r="AN102" i="155"/>
  <c r="AQ101" i="155"/>
  <c r="AQ100" i="155"/>
  <c r="AQ99" i="155"/>
  <c r="AQ98" i="155"/>
  <c r="AO97" i="155"/>
  <c r="AL97" i="155" s="1"/>
  <c r="AP97" i="155" s="1"/>
  <c r="AN97" i="155"/>
  <c r="AN103" i="155" s="1"/>
  <c r="AK97" i="155"/>
  <c r="AK103" i="155" s="1"/>
  <c r="AO96" i="155"/>
  <c r="AK96" i="155"/>
  <c r="AK102" i="155" s="1"/>
  <c r="AO95" i="155"/>
  <c r="AN95" i="155"/>
  <c r="AN101" i="155" s="1"/>
  <c r="AK95" i="155"/>
  <c r="AK101" i="155" s="1"/>
  <c r="AO94" i="155"/>
  <c r="AN94" i="155"/>
  <c r="AN100" i="155" s="1"/>
  <c r="AK94" i="155"/>
  <c r="AK100" i="155" s="1"/>
  <c r="AO93" i="155"/>
  <c r="AO98" i="155" s="1"/>
  <c r="AN93" i="155"/>
  <c r="AN99" i="155" s="1"/>
  <c r="AK93" i="155"/>
  <c r="AQ92" i="155"/>
  <c r="AN92" i="155"/>
  <c r="AO91" i="155"/>
  <c r="AP91" i="155" s="1"/>
  <c r="AL91" i="155"/>
  <c r="AP90" i="155"/>
  <c r="AO90" i="155"/>
  <c r="AL90" i="155"/>
  <c r="AO89" i="155"/>
  <c r="AL89" i="155" s="1"/>
  <c r="AP89" i="155" s="1"/>
  <c r="AO88" i="155"/>
  <c r="AO100" i="155" s="1"/>
  <c r="AO87" i="155"/>
  <c r="AP87" i="155" s="1"/>
  <c r="AL87" i="155"/>
  <c r="AK87" i="155"/>
  <c r="AK92" i="155" s="1"/>
  <c r="AN219" i="155"/>
  <c r="AH219" i="155"/>
  <c r="AJ218" i="155"/>
  <c r="AK218" i="155" s="1"/>
  <c r="AK217" i="155"/>
  <c r="AJ217" i="155"/>
  <c r="AJ216" i="155"/>
  <c r="AK216" i="155" s="1"/>
  <c r="AJ215" i="155"/>
  <c r="AK215" i="155" s="1"/>
  <c r="AJ214" i="155"/>
  <c r="AK214" i="155" s="1"/>
  <c r="AL213" i="155"/>
  <c r="AK213" i="155"/>
  <c r="AJ213" i="155" s="1"/>
  <c r="AI213" i="155"/>
  <c r="AI219" i="155" s="1"/>
  <c r="AK212" i="155"/>
  <c r="AJ212" i="155"/>
  <c r="AJ211" i="155"/>
  <c r="AK211" i="155" s="1"/>
  <c r="AK210" i="155"/>
  <c r="AJ210" i="155"/>
  <c r="AJ209" i="155"/>
  <c r="AK209" i="155" s="1"/>
  <c r="AJ208" i="155"/>
  <c r="AK208" i="155" s="1"/>
  <c r="AJ207" i="155"/>
  <c r="AK207" i="155" s="1"/>
  <c r="AJ206" i="155"/>
  <c r="AK206" i="155" s="1"/>
  <c r="AJ205" i="155"/>
  <c r="AK205" i="155" s="1"/>
  <c r="AE205" i="155"/>
  <c r="AE206" i="155" s="1"/>
  <c r="AE207" i="155" s="1"/>
  <c r="AE208" i="155" s="1"/>
  <c r="AE209" i="155" s="1"/>
  <c r="AE210" i="155" s="1"/>
  <c r="AE211" i="155" s="1"/>
  <c r="AE212" i="155" s="1"/>
  <c r="AE213" i="155" s="1"/>
  <c r="AE214" i="155" s="1"/>
  <c r="AE215" i="155" s="1"/>
  <c r="AE216" i="155" s="1"/>
  <c r="AE217" i="155" s="1"/>
  <c r="AE218" i="155" s="1"/>
  <c r="AJ204" i="155"/>
  <c r="AK204" i="155" s="1"/>
  <c r="AJ202" i="155"/>
  <c r="AK202" i="155" s="1"/>
  <c r="AJ201" i="155"/>
  <c r="AK201" i="155" s="1"/>
  <c r="AN200" i="155"/>
  <c r="AH200" i="155"/>
  <c r="AK199" i="155"/>
  <c r="AL199" i="155" s="1"/>
  <c r="AM199" i="155" s="1"/>
  <c r="AL198" i="155"/>
  <c r="AI198" i="155"/>
  <c r="AI200" i="155" s="1"/>
  <c r="AM197" i="155"/>
  <c r="AN196" i="155"/>
  <c r="AK196" i="155"/>
  <c r="AI196" i="155"/>
  <c r="AJ195" i="155"/>
  <c r="AJ196" i="155" s="1"/>
  <c r="AH195" i="155"/>
  <c r="AH196" i="155" s="1"/>
  <c r="AN194" i="155"/>
  <c r="AL193" i="155"/>
  <c r="AK193" i="155" s="1"/>
  <c r="AJ193" i="155" s="1"/>
  <c r="AM192" i="155"/>
  <c r="AK192" i="155"/>
  <c r="AJ192" i="155" s="1"/>
  <c r="AL191" i="155"/>
  <c r="AM191" i="155" s="1"/>
  <c r="AH191" i="155"/>
  <c r="AL190" i="155"/>
  <c r="AK190" i="155" s="1"/>
  <c r="AJ190" i="155" s="1"/>
  <c r="AI190" i="155"/>
  <c r="AM190" i="155" s="1"/>
  <c r="AH190" i="155"/>
  <c r="AL189" i="155"/>
  <c r="AK189" i="155" s="1"/>
  <c r="AJ189" i="155" s="1"/>
  <c r="AI189" i="155"/>
  <c r="AM189" i="155" s="1"/>
  <c r="AH189" i="155"/>
  <c r="AL188" i="155"/>
  <c r="AK188" i="155" s="1"/>
  <c r="AI188" i="155"/>
  <c r="AH188" i="155"/>
  <c r="AH194" i="155" s="1"/>
  <c r="AN186" i="155"/>
  <c r="AN185" i="155"/>
  <c r="AK185" i="155"/>
  <c r="AN184" i="155"/>
  <c r="AN183" i="155"/>
  <c r="AN182" i="155"/>
  <c r="AN181" i="155"/>
  <c r="AL180" i="155"/>
  <c r="AK180" i="155"/>
  <c r="AK186" i="155" s="1"/>
  <c r="AH180" i="155"/>
  <c r="AL179" i="155"/>
  <c r="AI179" i="155" s="1"/>
  <c r="AH179" i="155"/>
  <c r="AH185" i="155" s="1"/>
  <c r="AL178" i="155"/>
  <c r="AI178" i="155" s="1"/>
  <c r="AM178" i="155" s="1"/>
  <c r="AK178" i="155"/>
  <c r="AK184" i="155" s="1"/>
  <c r="AH178" i="155"/>
  <c r="AH184" i="155" s="1"/>
  <c r="AL177" i="155"/>
  <c r="AI177" i="155" s="1"/>
  <c r="AM177" i="155" s="1"/>
  <c r="AK177" i="155"/>
  <c r="AK183" i="155" s="1"/>
  <c r="AH177" i="155"/>
  <c r="AH183" i="155" s="1"/>
  <c r="AL176" i="155"/>
  <c r="AI176" i="155" s="1"/>
  <c r="AM176" i="155" s="1"/>
  <c r="AK176" i="155"/>
  <c r="AK182" i="155" s="1"/>
  <c r="AH176" i="155"/>
  <c r="AN175" i="155"/>
  <c r="AK175" i="155"/>
  <c r="AL174" i="155"/>
  <c r="AL173" i="155"/>
  <c r="AL185" i="155" s="1"/>
  <c r="AL172" i="155"/>
  <c r="AL171" i="155"/>
  <c r="AL170" i="155"/>
  <c r="AH170" i="155"/>
  <c r="AG151" i="155"/>
  <c r="AA151" i="155"/>
  <c r="AC150" i="155"/>
  <c r="AC149" i="155"/>
  <c r="AC148" i="155"/>
  <c r="AC147" i="155"/>
  <c r="AC146" i="155"/>
  <c r="AE145" i="155"/>
  <c r="AB145" i="155"/>
  <c r="AB151" i="155" s="1"/>
  <c r="AD144" i="155"/>
  <c r="AC144" i="155"/>
  <c r="AD143" i="155"/>
  <c r="AC143" i="155"/>
  <c r="AD142" i="155"/>
  <c r="AC142" i="155"/>
  <c r="AD141" i="155"/>
  <c r="AC141" i="155"/>
  <c r="AD140" i="155"/>
  <c r="AC140" i="155"/>
  <c r="AD139" i="155"/>
  <c r="AC139" i="155"/>
  <c r="AD138" i="155"/>
  <c r="AC138" i="155"/>
  <c r="AD137" i="155"/>
  <c r="AC137" i="155"/>
  <c r="X137" i="155"/>
  <c r="X138" i="155" s="1"/>
  <c r="X139" i="155" s="1"/>
  <c r="X140" i="155" s="1"/>
  <c r="X141" i="155" s="1"/>
  <c r="X142" i="155" s="1"/>
  <c r="X143" i="155" s="1"/>
  <c r="X144" i="155" s="1"/>
  <c r="X145" i="155" s="1"/>
  <c r="X146" i="155" s="1"/>
  <c r="X147" i="155" s="1"/>
  <c r="X148" i="155" s="1"/>
  <c r="X149" i="155" s="1"/>
  <c r="X150" i="155" s="1"/>
  <c r="AC136" i="155"/>
  <c r="AC134" i="155"/>
  <c r="AD133" i="155"/>
  <c r="AC133" i="155"/>
  <c r="AG132" i="155"/>
  <c r="AA132" i="155"/>
  <c r="AD131" i="155"/>
  <c r="AE131" i="155" s="1"/>
  <c r="AE130" i="155"/>
  <c r="AF129" i="155"/>
  <c r="AG128" i="155"/>
  <c r="AD128" i="155"/>
  <c r="AB128" i="155"/>
  <c r="AC127" i="155"/>
  <c r="AC128" i="155" s="1"/>
  <c r="AA127" i="155"/>
  <c r="AA128" i="155" s="1"/>
  <c r="AG126" i="155"/>
  <c r="AE125" i="155"/>
  <c r="AF125" i="155" s="1"/>
  <c r="AF124" i="155"/>
  <c r="AD124" i="155"/>
  <c r="AC124" i="155" s="1"/>
  <c r="AE123" i="155"/>
  <c r="AF123" i="155" s="1"/>
  <c r="AA123" i="155"/>
  <c r="AE122" i="155"/>
  <c r="AA122" i="155"/>
  <c r="AE121" i="155"/>
  <c r="AD121" i="155" s="1"/>
  <c r="AC121" i="155" s="1"/>
  <c r="AA121" i="155"/>
  <c r="AE120" i="155"/>
  <c r="AA120" i="155"/>
  <c r="AA126" i="155" s="1"/>
  <c r="AG118" i="155"/>
  <c r="AG117" i="155"/>
  <c r="AD117" i="155"/>
  <c r="AG116" i="155"/>
  <c r="AG115" i="155"/>
  <c r="AG114" i="155"/>
  <c r="AG113" i="155"/>
  <c r="AE112" i="155"/>
  <c r="AD112" i="155"/>
  <c r="AD118" i="155" s="1"/>
  <c r="AA112" i="155"/>
  <c r="AA118" i="155" s="1"/>
  <c r="AA110" i="155"/>
  <c r="AA116" i="155" s="1"/>
  <c r="AD109" i="155"/>
  <c r="AD115" i="155" s="1"/>
  <c r="AA109" i="155"/>
  <c r="AA115" i="155" s="1"/>
  <c r="AA108" i="155"/>
  <c r="AA113" i="155" s="1"/>
  <c r="AG107" i="155"/>
  <c r="AD107" i="155"/>
  <c r="AE106" i="155"/>
  <c r="AB106" i="155" s="1"/>
  <c r="AE105" i="155"/>
  <c r="AB105" i="155" s="1"/>
  <c r="AE104" i="155"/>
  <c r="AB104" i="155" s="1"/>
  <c r="AF104" i="155" s="1"/>
  <c r="AE103" i="155"/>
  <c r="AB103" i="155" s="1"/>
  <c r="AB115" i="155" s="1"/>
  <c r="AE102" i="155"/>
  <c r="AA102" i="155"/>
  <c r="AA114" i="155" s="1"/>
  <c r="AA119" i="155" s="1"/>
  <c r="AI194" i="155" l="1"/>
  <c r="AP96" i="155"/>
  <c r="AC104" i="155"/>
  <c r="AC106" i="155"/>
  <c r="AO102" i="155"/>
  <c r="AM93" i="155"/>
  <c r="AM94" i="155"/>
  <c r="AM95" i="155"/>
  <c r="AL96" i="155"/>
  <c r="AQ104" i="155"/>
  <c r="AQ120" i="155" s="1"/>
  <c r="AQ137" i="155" s="1"/>
  <c r="AL184" i="155"/>
  <c r="AL88" i="155"/>
  <c r="AP88" i="155" s="1"/>
  <c r="AP92" i="155" s="1"/>
  <c r="AO101" i="155"/>
  <c r="AM96" i="155"/>
  <c r="AL103" i="155"/>
  <c r="AL175" i="155"/>
  <c r="AL186" i="155"/>
  <c r="AJ180" i="155"/>
  <c r="AN187" i="155"/>
  <c r="AN203" i="155" s="1"/>
  <c r="AN220" i="155" s="1"/>
  <c r="AO92" i="155"/>
  <c r="AO103" i="155"/>
  <c r="AL111" i="155"/>
  <c r="AA111" i="155" s="1"/>
  <c r="AA117" i="155" s="1"/>
  <c r="AP106" i="155"/>
  <c r="AE133" i="155"/>
  <c r="AH182" i="155"/>
  <c r="AL183" i="155"/>
  <c r="AK187" i="155"/>
  <c r="AL181" i="155"/>
  <c r="AL200" i="155"/>
  <c r="AL212" i="155"/>
  <c r="AM212" i="155" s="1"/>
  <c r="AM87" i="155"/>
  <c r="AM99" i="155" s="1"/>
  <c r="AM88" i="155"/>
  <c r="AM89" i="155"/>
  <c r="AM90" i="155"/>
  <c r="AM102" i="155" s="1"/>
  <c r="AM91" i="155"/>
  <c r="AO123" i="155"/>
  <c r="AP123" i="155" s="1"/>
  <c r="AF106" i="155"/>
  <c r="AG119" i="155"/>
  <c r="AG135" i="155" s="1"/>
  <c r="AG152" i="155" s="1"/>
  <c r="AD125" i="155"/>
  <c r="AC125" i="155" s="1"/>
  <c r="AE138" i="155"/>
  <c r="AE140" i="155"/>
  <c r="AF140" i="155" s="1"/>
  <c r="AE142" i="155"/>
  <c r="AE144" i="155"/>
  <c r="AF144" i="155" s="1"/>
  <c r="AI171" i="155"/>
  <c r="AI183" i="155" s="1"/>
  <c r="AI173" i="155"/>
  <c r="AI185" i="155" s="1"/>
  <c r="AH175" i="155"/>
  <c r="AL194" i="155"/>
  <c r="AM193" i="155"/>
  <c r="AL206" i="155"/>
  <c r="AM206" i="155" s="1"/>
  <c r="AL102" i="155"/>
  <c r="AN104" i="155"/>
  <c r="AP105" i="155"/>
  <c r="AN108" i="155"/>
  <c r="AO125" i="155"/>
  <c r="AP125" i="155" s="1"/>
  <c r="AO132" i="155"/>
  <c r="AP132" i="155" s="1"/>
  <c r="AL208" i="155"/>
  <c r="AM208" i="155" s="1"/>
  <c r="AL215" i="155"/>
  <c r="AM215" i="155" s="1"/>
  <c r="AP102" i="155"/>
  <c r="AO127" i="155"/>
  <c r="AP127" i="155" s="1"/>
  <c r="AO134" i="155"/>
  <c r="AP134" i="155" s="1"/>
  <c r="AE137" i="155"/>
  <c r="AE139" i="155"/>
  <c r="AE141" i="155"/>
  <c r="AE143" i="155"/>
  <c r="AI170" i="155"/>
  <c r="AI182" i="155" s="1"/>
  <c r="AI172" i="155"/>
  <c r="AI184" i="155" s="1"/>
  <c r="AI174" i="155"/>
  <c r="AM174" i="155" s="1"/>
  <c r="AH181" i="155"/>
  <c r="AL210" i="155"/>
  <c r="AM210" i="155" s="1"/>
  <c r="AL217" i="155"/>
  <c r="AM217" i="155" s="1"/>
  <c r="AK98" i="155"/>
  <c r="AK111" i="155"/>
  <c r="AP107" i="155"/>
  <c r="AO117" i="155"/>
  <c r="AO129" i="155"/>
  <c r="AP129" i="155" s="1"/>
  <c r="AP103" i="155"/>
  <c r="AN136" i="155"/>
  <c r="AN98" i="155"/>
  <c r="AK99" i="155"/>
  <c r="AK104" i="155" s="1"/>
  <c r="AO99" i="155"/>
  <c r="AO104" i="155" s="1"/>
  <c r="AO111" i="155"/>
  <c r="AO118" i="155"/>
  <c r="AP118" i="155" s="1"/>
  <c r="AO119" i="155"/>
  <c r="AP119" i="155" s="1"/>
  <c r="AO121" i="155"/>
  <c r="AO122" i="155"/>
  <c r="AO124" i="155"/>
  <c r="AP124" i="155" s="1"/>
  <c r="AO126" i="155"/>
  <c r="AP126" i="155" s="1"/>
  <c r="AO128" i="155"/>
  <c r="AP128" i="155" s="1"/>
  <c r="AP130" i="155"/>
  <c r="AO131" i="155"/>
  <c r="AO133" i="155"/>
  <c r="AP133" i="155" s="1"/>
  <c r="AO135" i="155"/>
  <c r="AP135" i="155" s="1"/>
  <c r="AM136" i="155"/>
  <c r="AF103" i="155"/>
  <c r="AF115" i="155" s="1"/>
  <c r="AF105" i="155"/>
  <c r="AL93" i="155"/>
  <c r="AP93" i="155" s="1"/>
  <c r="AL94" i="155"/>
  <c r="AP94" i="155" s="1"/>
  <c r="AL95" i="155"/>
  <c r="AP95" i="155" s="1"/>
  <c r="AP101" i="155" s="1"/>
  <c r="AM97" i="155"/>
  <c r="AM98" i="155" s="1"/>
  <c r="AN105" i="155"/>
  <c r="AN106" i="155"/>
  <c r="AM106" i="155" s="1"/>
  <c r="AN107" i="155"/>
  <c r="AM107" i="155" s="1"/>
  <c r="AN110" i="155"/>
  <c r="AO112" i="155"/>
  <c r="AN115" i="155"/>
  <c r="AP115" i="155"/>
  <c r="AP117" i="155" s="1"/>
  <c r="AK219" i="155"/>
  <c r="AJ170" i="155"/>
  <c r="AM170" i="155"/>
  <c r="AJ171" i="155"/>
  <c r="AM171" i="155"/>
  <c r="AM183" i="155" s="1"/>
  <c r="AJ172" i="155"/>
  <c r="AM172" i="155"/>
  <c r="AM184" i="155" s="1"/>
  <c r="AJ173" i="155"/>
  <c r="AJ174" i="155"/>
  <c r="AJ186" i="155" s="1"/>
  <c r="AJ176" i="155"/>
  <c r="AJ177" i="155"/>
  <c r="AJ178" i="155"/>
  <c r="AJ179" i="155"/>
  <c r="AM179" i="155"/>
  <c r="AI180" i="155"/>
  <c r="AK181" i="155"/>
  <c r="AL182" i="155"/>
  <c r="AL187" i="155" s="1"/>
  <c r="AH186" i="155"/>
  <c r="AH187" i="155" s="1"/>
  <c r="AJ188" i="155"/>
  <c r="AK191" i="155"/>
  <c r="AJ191" i="155" s="1"/>
  <c r="AL201" i="155"/>
  <c r="AM201" i="155" s="1"/>
  <c r="AL202" i="155"/>
  <c r="AM202" i="155" s="1"/>
  <c r="AL204" i="155"/>
  <c r="AL205" i="155"/>
  <c r="AM205" i="155" s="1"/>
  <c r="AL207" i="155"/>
  <c r="AM207" i="155" s="1"/>
  <c r="AL209" i="155"/>
  <c r="AM209" i="155" s="1"/>
  <c r="AL211" i="155"/>
  <c r="AM211" i="155" s="1"/>
  <c r="AM213" i="155"/>
  <c r="AL214" i="155"/>
  <c r="AM214" i="155" s="1"/>
  <c r="AL216" i="155"/>
  <c r="AM216" i="155" s="1"/>
  <c r="AL218" i="155"/>
  <c r="AM218" i="155" s="1"/>
  <c r="AJ219" i="155"/>
  <c r="AM188" i="155"/>
  <c r="AM194" i="155" s="1"/>
  <c r="AL195" i="155"/>
  <c r="AK198" i="155"/>
  <c r="AM198" i="155"/>
  <c r="AM200" i="155" s="1"/>
  <c r="AB102" i="155"/>
  <c r="AF102" i="155" s="1"/>
  <c r="AC102" i="155"/>
  <c r="AE107" i="155"/>
  <c r="AF131" i="155"/>
  <c r="AF137" i="155"/>
  <c r="AF138" i="155"/>
  <c r="AF139" i="155"/>
  <c r="AF141" i="155"/>
  <c r="AF142" i="155"/>
  <c r="AF143" i="155"/>
  <c r="AB112" i="155"/>
  <c r="AF112" i="155" s="1"/>
  <c r="AF133" i="155"/>
  <c r="AA107" i="155"/>
  <c r="AE115" i="155"/>
  <c r="AE118" i="155"/>
  <c r="AE126" i="155"/>
  <c r="AE127" i="155"/>
  <c r="AD130" i="155"/>
  <c r="AE132" i="155"/>
  <c r="AD134" i="155"/>
  <c r="AE134" i="155" s="1"/>
  <c r="AD136" i="155"/>
  <c r="AE136" i="155" s="1"/>
  <c r="AD145" i="155"/>
  <c r="AC145" i="155" s="1"/>
  <c r="AC151" i="155" s="1"/>
  <c r="AF145" i="155"/>
  <c r="AD146" i="155"/>
  <c r="AE146" i="155" s="1"/>
  <c r="AD147" i="155"/>
  <c r="AE147" i="155" s="1"/>
  <c r="AD148" i="155"/>
  <c r="AE148" i="155" s="1"/>
  <c r="AD149" i="155"/>
  <c r="AE149" i="155" s="1"/>
  <c r="AD150" i="155"/>
  <c r="AE150" i="155" s="1"/>
  <c r="AC103" i="155"/>
  <c r="AC105" i="155"/>
  <c r="AC109" i="155"/>
  <c r="AC112" i="155"/>
  <c r="AD120" i="155"/>
  <c r="AD122" i="155"/>
  <c r="AC122" i="155" s="1"/>
  <c r="AD123" i="155"/>
  <c r="AC123" i="155" s="1"/>
  <c r="AI186" i="155" l="1"/>
  <c r="AI187" i="155" s="1"/>
  <c r="AI203" i="155" s="1"/>
  <c r="AI220" i="155" s="1"/>
  <c r="AL92" i="155"/>
  <c r="AP100" i="155"/>
  <c r="AM101" i="155"/>
  <c r="AC118" i="155"/>
  <c r="AJ184" i="155"/>
  <c r="AM100" i="155"/>
  <c r="AM104" i="155" s="1"/>
  <c r="AM108" i="155"/>
  <c r="AE108" i="155" s="1"/>
  <c r="AD108" i="155"/>
  <c r="AD114" i="155" s="1"/>
  <c r="AL100" i="155"/>
  <c r="AM103" i="155"/>
  <c r="AF118" i="155"/>
  <c r="AI175" i="155"/>
  <c r="AM173" i="155"/>
  <c r="AP111" i="155"/>
  <c r="AM92" i="155"/>
  <c r="AN117" i="155"/>
  <c r="AM115" i="155"/>
  <c r="AM117" i="155" s="1"/>
  <c r="AM110" i="155"/>
  <c r="AE110" i="155" s="1"/>
  <c r="AD110" i="155"/>
  <c r="AP122" i="155"/>
  <c r="AB121" i="155"/>
  <c r="AF121" i="155" s="1"/>
  <c r="AP98" i="155"/>
  <c r="AB118" i="155"/>
  <c r="AL98" i="155"/>
  <c r="AL101" i="155"/>
  <c r="AP99" i="155"/>
  <c r="AP104" i="155" s="1"/>
  <c r="AL99" i="155"/>
  <c r="AO113" i="155"/>
  <c r="AO120" i="155" s="1"/>
  <c r="AP112" i="155"/>
  <c r="AP113" i="155" s="1"/>
  <c r="AN111" i="155"/>
  <c r="AN120" i="155" s="1"/>
  <c r="AN137" i="155" s="1"/>
  <c r="AM105" i="155"/>
  <c r="AP131" i="155"/>
  <c r="AB130" i="155"/>
  <c r="AO136" i="155"/>
  <c r="AK200" i="155"/>
  <c r="AJ198" i="155"/>
  <c r="AJ200" i="155" s="1"/>
  <c r="AM182" i="155"/>
  <c r="AM175" i="155"/>
  <c r="AM219" i="155"/>
  <c r="AL219" i="155"/>
  <c r="AJ194" i="155"/>
  <c r="AI181" i="155"/>
  <c r="AJ181" i="155"/>
  <c r="AM185" i="155"/>
  <c r="AM180" i="155"/>
  <c r="AM181" i="155" s="1"/>
  <c r="AL196" i="155"/>
  <c r="AL203" i="155" s="1"/>
  <c r="AL220" i="155" s="1"/>
  <c r="AM195" i="155"/>
  <c r="AM196" i="155" s="1"/>
  <c r="AJ175" i="155"/>
  <c r="AJ182" i="155"/>
  <c r="AJ185" i="155"/>
  <c r="AJ183" i="155"/>
  <c r="AK194" i="155"/>
  <c r="AF149" i="155"/>
  <c r="AF147" i="155"/>
  <c r="AF151" i="155" s="1"/>
  <c r="AE151" i="155"/>
  <c r="AK151" i="155" s="1"/>
  <c r="AF107" i="155"/>
  <c r="AF150" i="155"/>
  <c r="AF148" i="155"/>
  <c r="AF146" i="155"/>
  <c r="AF134" i="155"/>
  <c r="AD126" i="155"/>
  <c r="AC120" i="155"/>
  <c r="AC126" i="155" s="1"/>
  <c r="AF127" i="155"/>
  <c r="AF128" i="155" s="1"/>
  <c r="AE128" i="155"/>
  <c r="AC115" i="155"/>
  <c r="AD132" i="155"/>
  <c r="AC130" i="155"/>
  <c r="AC132" i="155" s="1"/>
  <c r="AC107" i="155"/>
  <c r="AB107" i="155"/>
  <c r="AD151" i="155"/>
  <c r="AL104" i="155" l="1"/>
  <c r="AL120" i="155" s="1"/>
  <c r="AL137" i="155" s="1"/>
  <c r="AK203" i="155"/>
  <c r="AK220" i="155" s="1"/>
  <c r="AC108" i="155"/>
  <c r="AE114" i="155"/>
  <c r="AE119" i="155" s="1"/>
  <c r="AE135" i="155" s="1"/>
  <c r="AE152" i="155" s="1"/>
  <c r="AK152" i="155" s="1"/>
  <c r="AB108" i="155"/>
  <c r="AE113" i="155"/>
  <c r="AP120" i="155"/>
  <c r="AM111" i="155"/>
  <c r="AE111" i="155" s="1"/>
  <c r="AC111" i="155" s="1"/>
  <c r="AC117" i="155" s="1"/>
  <c r="AB132" i="155"/>
  <c r="AF130" i="155"/>
  <c r="AF132" i="155" s="1"/>
  <c r="AE116" i="155"/>
  <c r="AB110" i="155"/>
  <c r="AP136" i="155"/>
  <c r="AO137" i="155"/>
  <c r="AB120" i="155"/>
  <c r="AF120" i="155" s="1"/>
  <c r="AD116" i="155"/>
  <c r="AD119" i="155" s="1"/>
  <c r="AD135" i="155" s="1"/>
  <c r="AD152" i="155" s="1"/>
  <c r="AC110" i="155"/>
  <c r="AC116" i="155" s="1"/>
  <c r="AD113" i="155"/>
  <c r="AJ187" i="155"/>
  <c r="AJ203" i="155" s="1"/>
  <c r="AJ220" i="155" s="1"/>
  <c r="AM186" i="155"/>
  <c r="AM187" i="155" s="1"/>
  <c r="AM203" i="155" s="1"/>
  <c r="AM220" i="155" s="1"/>
  <c r="AB122" i="155"/>
  <c r="AE117" i="155" l="1"/>
  <c r="AP137" i="155"/>
  <c r="AC114" i="155"/>
  <c r="AC119" i="155" s="1"/>
  <c r="AC135" i="155" s="1"/>
  <c r="AC152" i="155" s="1"/>
  <c r="AC113" i="155"/>
  <c r="AM120" i="155"/>
  <c r="AM137" i="155" s="1"/>
  <c r="AB111" i="155"/>
  <c r="AB117" i="155" s="1"/>
  <c r="AF108" i="155"/>
  <c r="AB114" i="155"/>
  <c r="AB119" i="155" s="1"/>
  <c r="AB113" i="155"/>
  <c r="AF110" i="155"/>
  <c r="AF116" i="155" s="1"/>
  <c r="AB116" i="155"/>
  <c r="AF111" i="155"/>
  <c r="AF117" i="155" s="1"/>
  <c r="AF122" i="155"/>
  <c r="AF126" i="155" s="1"/>
  <c r="AB126" i="155"/>
  <c r="AB135" i="155" l="1"/>
  <c r="AB152" i="155" s="1"/>
  <c r="AF113" i="155"/>
  <c r="AF114" i="155"/>
  <c r="AF119" i="155" s="1"/>
  <c r="AF135" i="155"/>
  <c r="AF152" i="155" s="1"/>
  <c r="H10" i="178"/>
  <c r="G10" i="178" s="1"/>
  <c r="F10" i="178" s="1"/>
  <c r="E10" i="178" s="1"/>
  <c r="H11" i="178"/>
  <c r="G11" i="178" s="1"/>
  <c r="F11" i="178" s="1"/>
  <c r="H12" i="178"/>
  <c r="G12" i="178" s="1"/>
  <c r="F12" i="178" s="1"/>
  <c r="H13" i="178"/>
  <c r="G13" i="178" s="1"/>
  <c r="F13" i="178" s="1"/>
  <c r="H14" i="178"/>
  <c r="G14" i="178" s="1"/>
  <c r="F14" i="178" s="1"/>
  <c r="AK51" i="155" l="1"/>
  <c r="AM57" i="155" l="1"/>
  <c r="AG57" i="155"/>
  <c r="AI56" i="155"/>
  <c r="AJ56" i="155" s="1"/>
  <c r="AI55" i="155"/>
  <c r="AJ55" i="155" s="1"/>
  <c r="AI54" i="155"/>
  <c r="AJ54" i="155" s="1"/>
  <c r="AI53" i="155"/>
  <c r="AJ53" i="155" s="1"/>
  <c r="AI52" i="155"/>
  <c r="AJ52" i="155" s="1"/>
  <c r="AH51" i="155"/>
  <c r="AH57" i="155" s="1"/>
  <c r="AI50" i="155"/>
  <c r="AI49" i="155"/>
  <c r="AI48" i="155"/>
  <c r="AI47" i="155"/>
  <c r="AI46" i="155"/>
  <c r="AI45" i="155"/>
  <c r="AI44" i="155"/>
  <c r="AI43" i="155"/>
  <c r="AD43" i="155"/>
  <c r="AD44" i="155" s="1"/>
  <c r="AD45" i="155" s="1"/>
  <c r="AD46" i="155" s="1"/>
  <c r="AD47" i="155" s="1"/>
  <c r="AD48" i="155" s="1"/>
  <c r="AD49" i="155" s="1"/>
  <c r="AD50" i="155" s="1"/>
  <c r="AD51" i="155" s="1"/>
  <c r="AD52" i="155" s="1"/>
  <c r="AD53" i="155" s="1"/>
  <c r="AD54" i="155" s="1"/>
  <c r="AD55" i="155" s="1"/>
  <c r="AD56" i="155" s="1"/>
  <c r="AI42" i="155"/>
  <c r="AJ42" i="155" s="1"/>
  <c r="AI40" i="155"/>
  <c r="AJ40" i="155" s="1"/>
  <c r="AI39" i="155"/>
  <c r="AU38" i="155"/>
  <c r="AM38" i="155"/>
  <c r="AG38" i="155"/>
  <c r="AU37" i="155"/>
  <c r="AH36" i="155" s="1"/>
  <c r="AJ37" i="155"/>
  <c r="AK37" i="155" s="1"/>
  <c r="AU36" i="155"/>
  <c r="AK36" i="155"/>
  <c r="AQ36" i="155" s="1"/>
  <c r="AL35" i="155"/>
  <c r="AM34" i="155"/>
  <c r="AJ34" i="155"/>
  <c r="AH34" i="155"/>
  <c r="AI33" i="155"/>
  <c r="AK33" i="155" s="1"/>
  <c r="AK34" i="155" s="1"/>
  <c r="AG33" i="155"/>
  <c r="AG34" i="155" s="1"/>
  <c r="AR32" i="155"/>
  <c r="AM32" i="155"/>
  <c r="AT31" i="155"/>
  <c r="AS31" i="155"/>
  <c r="AK31" i="155"/>
  <c r="AJ31" i="155" s="1"/>
  <c r="AI31" i="155" s="1"/>
  <c r="AS30" i="155"/>
  <c r="AP30" i="155"/>
  <c r="AP32" i="155" s="1"/>
  <c r="AO30" i="155"/>
  <c r="AG28" i="155" s="1"/>
  <c r="AL30" i="155"/>
  <c r="AJ30" i="155"/>
  <c r="AI30" i="155" s="1"/>
  <c r="AT29" i="155"/>
  <c r="AS29" i="155"/>
  <c r="AK29" i="155"/>
  <c r="AG29" i="155"/>
  <c r="AT28" i="155"/>
  <c r="AS28" i="155"/>
  <c r="AK28" i="155"/>
  <c r="AT27" i="155"/>
  <c r="AS27" i="155"/>
  <c r="AK27" i="155"/>
  <c r="AJ27" i="155" s="1"/>
  <c r="AI27" i="155" s="1"/>
  <c r="AG27" i="155"/>
  <c r="AT26" i="155"/>
  <c r="AS26" i="155"/>
  <c r="AK26" i="155"/>
  <c r="AG26" i="155"/>
  <c r="AM24" i="155"/>
  <c r="AP23" i="155"/>
  <c r="AO23" i="155"/>
  <c r="AM23" i="155"/>
  <c r="AJ23" i="155"/>
  <c r="AP22" i="155"/>
  <c r="AO22" i="155"/>
  <c r="AM22" i="155"/>
  <c r="AP21" i="155"/>
  <c r="AO21" i="155"/>
  <c r="AM21" i="155"/>
  <c r="AM20" i="155"/>
  <c r="AS19" i="155"/>
  <c r="AR19" i="155"/>
  <c r="AM19" i="155"/>
  <c r="AP18" i="155"/>
  <c r="AP24" i="155" s="1"/>
  <c r="AO18" i="155"/>
  <c r="AO24" i="155" s="1"/>
  <c r="AJ18" i="155"/>
  <c r="AJ24" i="155" s="1"/>
  <c r="AG18" i="155"/>
  <c r="AG24" i="155" s="1"/>
  <c r="AT17" i="155"/>
  <c r="AT19" i="155" s="1"/>
  <c r="AK17" i="155"/>
  <c r="AG17" i="155"/>
  <c r="AG23" i="155" s="1"/>
  <c r="AK16" i="155"/>
  <c r="AJ16" i="155"/>
  <c r="AJ22" i="155" s="1"/>
  <c r="AG16" i="155"/>
  <c r="AG22" i="155" s="1"/>
  <c r="AK15" i="155"/>
  <c r="AJ15" i="155"/>
  <c r="AJ21" i="155" s="1"/>
  <c r="AG15" i="155"/>
  <c r="AG21" i="155" s="1"/>
  <c r="AK14" i="155"/>
  <c r="AH14" i="155" s="1"/>
  <c r="AJ14" i="155"/>
  <c r="AJ20" i="155" s="1"/>
  <c r="AG14" i="155"/>
  <c r="AM13" i="155"/>
  <c r="AJ13" i="155"/>
  <c r="AK12" i="155"/>
  <c r="AQ12" i="155" s="1"/>
  <c r="AK11" i="155"/>
  <c r="AK10" i="155"/>
  <c r="AQ10" i="155" s="1"/>
  <c r="AK9" i="155"/>
  <c r="AP8" i="155"/>
  <c r="AK8" i="155" s="1"/>
  <c r="AO8" i="155"/>
  <c r="AO20" i="155" s="1"/>
  <c r="AL31" i="155" l="1"/>
  <c r="AU17" i="155"/>
  <c r="AU19" i="155" s="1"/>
  <c r="AG32" i="155"/>
  <c r="AI34" i="155"/>
  <c r="AL36" i="155"/>
  <c r="AG19" i="155"/>
  <c r="AK38" i="155"/>
  <c r="AO25" i="155"/>
  <c r="AI10" i="155"/>
  <c r="AH12" i="155"/>
  <c r="AL12" i="155" s="1"/>
  <c r="AH10" i="155"/>
  <c r="AL10" i="155" s="1"/>
  <c r="AU26" i="155"/>
  <c r="AQ15" i="155"/>
  <c r="AH15" i="155"/>
  <c r="AL15" i="155" s="1"/>
  <c r="AG8" i="155"/>
  <c r="AG13" i="155" s="1"/>
  <c r="AI12" i="155"/>
  <c r="AI14" i="155"/>
  <c r="AM25" i="155"/>
  <c r="AM41" i="155" s="1"/>
  <c r="AM58" i="155" s="1"/>
  <c r="AU27" i="155"/>
  <c r="AU28" i="155"/>
  <c r="AU29" i="155"/>
  <c r="AJ36" i="155"/>
  <c r="AJ38" i="155" s="1"/>
  <c r="AK40" i="155"/>
  <c r="AL40" i="155" s="1"/>
  <c r="AL51" i="155"/>
  <c r="AQ8" i="155"/>
  <c r="AH8" i="155"/>
  <c r="AI8" i="155"/>
  <c r="AK20" i="155"/>
  <c r="AK13" i="155"/>
  <c r="AL8" i="155"/>
  <c r="AJ25" i="155"/>
  <c r="AQ9" i="155"/>
  <c r="AQ21" i="155" s="1"/>
  <c r="AH11" i="155"/>
  <c r="AH17" i="155"/>
  <c r="AL17" i="155" s="1"/>
  <c r="AP19" i="155"/>
  <c r="AG20" i="155"/>
  <c r="AG25" i="155" s="1"/>
  <c r="AP20" i="155"/>
  <c r="AP25" i="155" s="1"/>
  <c r="AK21" i="155"/>
  <c r="AK22" i="155"/>
  <c r="AK23" i="155"/>
  <c r="AJ28" i="155"/>
  <c r="AI28" i="155" s="1"/>
  <c r="AL29" i="155"/>
  <c r="AJ29" i="155"/>
  <c r="AI29" i="155" s="1"/>
  <c r="AO32" i="155"/>
  <c r="AT30" i="155"/>
  <c r="AU30" i="155" s="1"/>
  <c r="AQ40" i="155"/>
  <c r="AH9" i="155"/>
  <c r="AH21" i="155" s="1"/>
  <c r="AQ11" i="155"/>
  <c r="AP13" i="155"/>
  <c r="AQ14" i="155"/>
  <c r="AI16" i="155"/>
  <c r="AI22" i="155" s="1"/>
  <c r="AQ16" i="155"/>
  <c r="AQ22" i="155" s="1"/>
  <c r="AQ17" i="155"/>
  <c r="AI9" i="155"/>
  <c r="AI11" i="155"/>
  <c r="AO13" i="155"/>
  <c r="AI15" i="155"/>
  <c r="AH16" i="155"/>
  <c r="AH22" i="155" s="1"/>
  <c r="AI17" i="155"/>
  <c r="AK18" i="155"/>
  <c r="AK19" i="155" s="1"/>
  <c r="AJ19" i="155"/>
  <c r="AO19" i="155"/>
  <c r="AJ26" i="155"/>
  <c r="AT32" i="155"/>
  <c r="AU31" i="155"/>
  <c r="AK32" i="155"/>
  <c r="AL33" i="155"/>
  <c r="AL34" i="155" s="1"/>
  <c r="AI36" i="155"/>
  <c r="AI38" i="155" s="1"/>
  <c r="AL37" i="155"/>
  <c r="AL38" i="155" s="1"/>
  <c r="AH38" i="155"/>
  <c r="AJ39" i="155"/>
  <c r="AK39" i="155" s="1"/>
  <c r="AK42" i="155"/>
  <c r="AJ43" i="155"/>
  <c r="AK43" i="155" s="1"/>
  <c r="AJ44" i="155"/>
  <c r="AK44" i="155" s="1"/>
  <c r="AJ45" i="155"/>
  <c r="AK45" i="155" s="1"/>
  <c r="AJ46" i="155"/>
  <c r="AK46" i="155" s="1"/>
  <c r="AJ47" i="155"/>
  <c r="AK47" i="155" s="1"/>
  <c r="AJ48" i="155"/>
  <c r="AK48" i="155" s="1"/>
  <c r="AJ49" i="155"/>
  <c r="AK49" i="155" s="1"/>
  <c r="AJ50" i="155"/>
  <c r="AK50" i="155" s="1"/>
  <c r="AQ51" i="155"/>
  <c r="AK52" i="155"/>
  <c r="AK53" i="155"/>
  <c r="AK54" i="155"/>
  <c r="AK55" i="155"/>
  <c r="AK56" i="155"/>
  <c r="AQ37" i="155"/>
  <c r="AJ51" i="155"/>
  <c r="AI51" i="155" s="1"/>
  <c r="AI57" i="155" s="1"/>
  <c r="AH26" i="155" l="1"/>
  <c r="AL26" i="155" s="1"/>
  <c r="AH23" i="155"/>
  <c r="AH27" i="155"/>
  <c r="AL27" i="155" s="1"/>
  <c r="AL32" i="155" s="1"/>
  <c r="AQ49" i="155"/>
  <c r="AL49" i="155"/>
  <c r="AQ45" i="155"/>
  <c r="AL45" i="155"/>
  <c r="AQ39" i="155"/>
  <c r="AL39" i="155"/>
  <c r="AQ50" i="155"/>
  <c r="AL50" i="155"/>
  <c r="AQ48" i="155"/>
  <c r="AL48" i="155"/>
  <c r="AQ46" i="155"/>
  <c r="AL46" i="155"/>
  <c r="AQ44" i="155"/>
  <c r="AL44" i="155"/>
  <c r="AH28" i="155"/>
  <c r="AL28" i="155" s="1"/>
  <c r="AU32" i="155"/>
  <c r="AQ47" i="155"/>
  <c r="AL47" i="155"/>
  <c r="AQ43" i="155"/>
  <c r="AL43" i="155"/>
  <c r="AL56" i="155"/>
  <c r="AQ56" i="155"/>
  <c r="AL54" i="155"/>
  <c r="AQ54" i="155"/>
  <c r="AL52" i="155"/>
  <c r="AQ52" i="155"/>
  <c r="AK57" i="155"/>
  <c r="AQ57" i="155" s="1"/>
  <c r="AQ42" i="155"/>
  <c r="AJ57" i="155"/>
  <c r="AI18" i="155"/>
  <c r="AI24" i="155" s="1"/>
  <c r="AI23" i="155"/>
  <c r="AL14" i="155"/>
  <c r="AL20" i="155" s="1"/>
  <c r="AL11" i="155"/>
  <c r="AL23" i="155" s="1"/>
  <c r="AH20" i="155"/>
  <c r="AH13" i="155"/>
  <c r="AL55" i="155"/>
  <c r="AQ55" i="155"/>
  <c r="AL53" i="155"/>
  <c r="AQ53" i="155"/>
  <c r="AJ32" i="155"/>
  <c r="AJ41" i="155" s="1"/>
  <c r="AJ58" i="155" s="1"/>
  <c r="AI26" i="155"/>
  <c r="AI32" i="155" s="1"/>
  <c r="AQ18" i="155"/>
  <c r="AQ24" i="155" s="1"/>
  <c r="AH18" i="155"/>
  <c r="AH24" i="155" s="1"/>
  <c r="AI21" i="155"/>
  <c r="AQ23" i="155"/>
  <c r="AK24" i="155"/>
  <c r="AK25" i="155" s="1"/>
  <c r="AK41" i="155" s="1"/>
  <c r="AL16" i="155"/>
  <c r="AL22" i="155" s="1"/>
  <c r="AL9" i="155"/>
  <c r="AL21" i="155" s="1"/>
  <c r="AI13" i="155"/>
  <c r="AI20" i="155"/>
  <c r="AQ20" i="155"/>
  <c r="AQ25" i="155" s="1"/>
  <c r="AQ13" i="155"/>
  <c r="AQ19" i="155" l="1"/>
  <c r="AH32" i="155"/>
  <c r="AQ41" i="155"/>
  <c r="AK58" i="155"/>
  <c r="AQ58" i="155" s="1"/>
  <c r="AI25" i="155"/>
  <c r="AI41" i="155" s="1"/>
  <c r="AI58" i="155" s="1"/>
  <c r="AL18" i="155"/>
  <c r="AL24" i="155" s="1"/>
  <c r="AL25" i="155" s="1"/>
  <c r="AL41" i="155" s="1"/>
  <c r="AH25" i="155"/>
  <c r="AL13" i="155"/>
  <c r="AH19" i="155"/>
  <c r="AL57" i="155"/>
  <c r="AI19" i="155"/>
  <c r="AH41" i="155" l="1"/>
  <c r="AH58" i="155" s="1"/>
  <c r="AL19" i="155"/>
  <c r="AL58" i="155"/>
  <c r="AE20" i="200" l="1"/>
  <c r="AE19" i="200"/>
  <c r="AE18" i="200"/>
  <c r="AE17" i="200"/>
  <c r="AE16" i="200"/>
  <c r="F20" i="200"/>
  <c r="F19" i="200"/>
  <c r="F18" i="200"/>
  <c r="F17" i="200"/>
  <c r="F16" i="200"/>
  <c r="F21" i="200" l="1"/>
  <c r="AC14" i="185"/>
  <c r="Y15" i="200" l="1"/>
  <c r="U15" i="200"/>
  <c r="Q15" i="200"/>
  <c r="AC21" i="200"/>
  <c r="AA21" i="200"/>
  <c r="Y21" i="200"/>
  <c r="W21" i="200"/>
  <c r="U21" i="200"/>
  <c r="S21" i="200"/>
  <c r="Q21" i="200"/>
  <c r="O21" i="200"/>
  <c r="M21" i="200"/>
  <c r="K21" i="200"/>
  <c r="I21" i="200"/>
  <c r="G21" i="200"/>
  <c r="D21" i="200"/>
  <c r="C21" i="200"/>
  <c r="B21" i="200"/>
  <c r="AD19" i="200"/>
  <c r="AB19" i="200"/>
  <c r="Z19" i="200"/>
  <c r="X19" i="200"/>
  <c r="V19" i="200"/>
  <c r="T19" i="200"/>
  <c r="R19" i="200"/>
  <c r="P19" i="200"/>
  <c r="N19" i="200"/>
  <c r="L19" i="200"/>
  <c r="J19" i="200"/>
  <c r="H19" i="200"/>
  <c r="AD18" i="200"/>
  <c r="AB18" i="200"/>
  <c r="Z18" i="200"/>
  <c r="X18" i="200"/>
  <c r="V18" i="200"/>
  <c r="T18" i="200"/>
  <c r="R18" i="200"/>
  <c r="P18" i="200"/>
  <c r="N18" i="200"/>
  <c r="L18" i="200"/>
  <c r="J18" i="200"/>
  <c r="H18" i="200"/>
  <c r="AD17" i="200"/>
  <c r="AB17" i="200"/>
  <c r="Z17" i="200"/>
  <c r="X17" i="200"/>
  <c r="V17" i="200"/>
  <c r="T17" i="200"/>
  <c r="R17" i="200"/>
  <c r="P17" i="200"/>
  <c r="N17" i="200"/>
  <c r="L17" i="200"/>
  <c r="J17" i="200"/>
  <c r="H17" i="200"/>
  <c r="AD16" i="200"/>
  <c r="AB16" i="200"/>
  <c r="Z16" i="200"/>
  <c r="X16" i="200"/>
  <c r="V16" i="200"/>
  <c r="T16" i="200"/>
  <c r="R16" i="200"/>
  <c r="P16" i="200"/>
  <c r="N16" i="200"/>
  <c r="L16" i="200"/>
  <c r="J16" i="200"/>
  <c r="H16" i="200"/>
  <c r="F22" i="109"/>
  <c r="E22" i="109" s="1"/>
  <c r="H21" i="200" l="1"/>
  <c r="L21" i="200"/>
  <c r="P21" i="200"/>
  <c r="T21" i="200"/>
  <c r="X21" i="200"/>
  <c r="AB21" i="200"/>
  <c r="J21" i="200"/>
  <c r="N21" i="200"/>
  <c r="R21" i="200"/>
  <c r="V21" i="200"/>
  <c r="Z21" i="200"/>
  <c r="AD21" i="200"/>
  <c r="D10" i="200" l="1"/>
  <c r="F10" i="200" s="1"/>
  <c r="AC14" i="200"/>
  <c r="H10" i="185" s="1"/>
  <c r="AA14" i="200"/>
  <c r="F10" i="185" s="1"/>
  <c r="Y14" i="200"/>
  <c r="Z15" i="200" s="1"/>
  <c r="W14" i="200"/>
  <c r="U14" i="200"/>
  <c r="V15" i="200" s="1"/>
  <c r="S14" i="200"/>
  <c r="Q14" i="200"/>
  <c r="R15" i="200" s="1"/>
  <c r="O14" i="200"/>
  <c r="M14" i="200"/>
  <c r="K14" i="200"/>
  <c r="I14" i="200"/>
  <c r="G14" i="200"/>
  <c r="D10" i="185" s="1"/>
  <c r="E14" i="200"/>
  <c r="C14" i="200"/>
  <c r="B14" i="200"/>
  <c r="V10" i="200" l="1"/>
  <c r="Z10" i="200"/>
  <c r="J10" i="200"/>
  <c r="AD10" i="200"/>
  <c r="N10" i="200"/>
  <c r="R10" i="200"/>
  <c r="E10" i="185"/>
  <c r="AB10" i="200"/>
  <c r="X10" i="200"/>
  <c r="T10" i="200"/>
  <c r="P10" i="200"/>
  <c r="L10" i="200"/>
  <c r="H10" i="200"/>
  <c r="I27" i="202" l="1"/>
  <c r="C31" i="176" s="1"/>
  <c r="H27" i="202"/>
  <c r="B31" i="176" s="1"/>
  <c r="A8" i="202"/>
  <c r="A9" i="202" s="1"/>
  <c r="A10" i="202" s="1"/>
  <c r="A11" i="202" s="1"/>
  <c r="A12" i="202" s="1"/>
  <c r="A13" i="202" s="1"/>
  <c r="A14" i="202" s="1"/>
  <c r="A15" i="202" s="1"/>
  <c r="A16" i="202" s="1"/>
  <c r="A17" i="202" s="1"/>
  <c r="A18" i="202" s="1"/>
  <c r="A19" i="202" s="1"/>
  <c r="A20" i="202" s="1"/>
  <c r="A21" i="202" s="1"/>
  <c r="A22" i="202" s="1"/>
  <c r="A23" i="202" s="1"/>
  <c r="A24" i="202" s="1"/>
  <c r="A25" i="202" s="1"/>
  <c r="A26" i="202" s="1"/>
  <c r="H30" i="201"/>
  <c r="B27" i="176" s="1"/>
  <c r="H29" i="201"/>
  <c r="H31" i="201" s="1"/>
  <c r="G30" i="201"/>
  <c r="G29" i="201"/>
  <c r="I18" i="201"/>
  <c r="I29" i="201" s="1"/>
  <c r="C26" i="176" s="1"/>
  <c r="I16" i="201"/>
  <c r="I30" i="201" s="1"/>
  <c r="C27" i="176" s="1"/>
  <c r="I13" i="201"/>
  <c r="C14" i="176" s="1"/>
  <c r="H13" i="201"/>
  <c r="B14" i="176" s="1"/>
  <c r="I12" i="201"/>
  <c r="C13" i="176" s="1"/>
  <c r="H12" i="201"/>
  <c r="B13" i="176" s="1"/>
  <c r="G13" i="201"/>
  <c r="G12" i="201"/>
  <c r="B26" i="176" l="1"/>
  <c r="I31" i="201"/>
  <c r="G31" i="201" l="1"/>
  <c r="A17" i="201"/>
  <c r="A18" i="201" s="1"/>
  <c r="A19" i="201" s="1"/>
  <c r="A20" i="201" s="1"/>
  <c r="A21" i="201" s="1"/>
  <c r="A22" i="201" s="1"/>
  <c r="A23" i="201" s="1"/>
  <c r="A24" i="201" s="1"/>
  <c r="A25" i="201" s="1"/>
  <c r="A26" i="201" s="1"/>
  <c r="A27" i="201" s="1"/>
  <c r="A28" i="201" s="1"/>
  <c r="I14" i="201"/>
  <c r="H14" i="201"/>
  <c r="G14" i="201"/>
  <c r="A8" i="201"/>
  <c r="A9" i="201" s="1"/>
  <c r="A10" i="201" s="1"/>
  <c r="A11" i="201" s="1"/>
  <c r="C40" i="176" l="1"/>
  <c r="B40" i="176"/>
  <c r="C10" i="176"/>
  <c r="B10" i="176"/>
  <c r="B8" i="176" s="1"/>
  <c r="F20" i="109"/>
  <c r="E20" i="109" s="1"/>
  <c r="D40" i="176" l="1"/>
  <c r="C8" i="176"/>
  <c r="D10" i="176"/>
  <c r="B10" i="183" l="1"/>
  <c r="C10" i="183"/>
  <c r="E76" i="188" l="1"/>
  <c r="D9" i="200" l="1"/>
  <c r="D14" i="200" l="1"/>
  <c r="F9" i="200"/>
  <c r="F14" i="200" s="1"/>
  <c r="H9" i="200"/>
  <c r="J9" i="200"/>
  <c r="L9" i="200"/>
  <c r="N9" i="200"/>
  <c r="P9" i="200"/>
  <c r="R9" i="200"/>
  <c r="T9" i="200"/>
  <c r="V9" i="200"/>
  <c r="X9" i="200"/>
  <c r="Z9" i="200"/>
  <c r="AB9" i="200"/>
  <c r="AD9" i="200"/>
  <c r="K295" i="188" l="1"/>
  <c r="K133" i="188"/>
  <c r="K77" i="188"/>
  <c r="B16" i="183" l="1"/>
  <c r="B18" i="183" s="1"/>
  <c r="K186" i="188" l="1"/>
  <c r="K134" i="188"/>
  <c r="K76" i="188"/>
  <c r="H19" i="178" l="1"/>
  <c r="G19" i="178" s="1"/>
  <c r="F19" i="178" s="1"/>
  <c r="E19" i="178" s="1"/>
  <c r="E19" i="183" s="1"/>
  <c r="E23" i="183" s="1"/>
  <c r="C19" i="183"/>
  <c r="C23" i="183" s="1"/>
  <c r="C11" i="176"/>
  <c r="H17" i="178"/>
  <c r="G17" i="178" s="1"/>
  <c r="F386" i="188" s="1"/>
  <c r="C14" i="178"/>
  <c r="B14" i="178" s="1"/>
  <c r="C13" i="178"/>
  <c r="B13" i="178" s="1"/>
  <c r="C12" i="178"/>
  <c r="B12" i="178" s="1"/>
  <c r="C11" i="178"/>
  <c r="B11" i="178" s="1"/>
  <c r="C10" i="178"/>
  <c r="B10" i="178" s="1"/>
  <c r="K188" i="188"/>
  <c r="K243" i="188"/>
  <c r="K362" i="188"/>
  <c r="K373" i="188"/>
  <c r="K370" i="188"/>
  <c r="BD10" i="185"/>
  <c r="H72" i="188"/>
  <c r="H112" i="188" s="1"/>
  <c r="H129" i="188"/>
  <c r="H154" i="188" s="1"/>
  <c r="H182" i="188"/>
  <c r="H237" i="188"/>
  <c r="H255" i="188" s="1"/>
  <c r="H291" i="188"/>
  <c r="H319" i="188" s="1"/>
  <c r="I15" i="200"/>
  <c r="J15" i="200" s="1"/>
  <c r="B26" i="172"/>
  <c r="B28" i="172" s="1"/>
  <c r="B29" i="168"/>
  <c r="B11" i="176"/>
  <c r="E28" i="178"/>
  <c r="D23" i="176"/>
  <c r="B37" i="176"/>
  <c r="D33" i="176"/>
  <c r="D31" i="176"/>
  <c r="D26" i="176"/>
  <c r="D24" i="176"/>
  <c r="D13" i="176"/>
  <c r="K187" i="188"/>
  <c r="E349" i="188"/>
  <c r="B27" i="174"/>
  <c r="C18" i="174"/>
  <c r="B23" i="168"/>
  <c r="C23" i="168"/>
  <c r="C18" i="170"/>
  <c r="B18" i="170"/>
  <c r="F25" i="109"/>
  <c r="E25" i="109" s="1"/>
  <c r="F24" i="109"/>
  <c r="E24" i="109" s="1"/>
  <c r="F23" i="109"/>
  <c r="E23" i="109" s="1"/>
  <c r="F21" i="109"/>
  <c r="E21" i="109" s="1"/>
  <c r="F16" i="109"/>
  <c r="E16" i="109" s="1"/>
  <c r="F15" i="109"/>
  <c r="E15" i="109" s="1"/>
  <c r="F14" i="109"/>
  <c r="E14" i="109" s="1"/>
  <c r="J76" i="188"/>
  <c r="J77" i="188"/>
  <c r="J78" i="188"/>
  <c r="J295" i="188"/>
  <c r="J297" i="188"/>
  <c r="J241" i="188"/>
  <c r="J242" i="188"/>
  <c r="J243" i="188"/>
  <c r="J186" i="188"/>
  <c r="J187" i="188"/>
  <c r="J188" i="188"/>
  <c r="J133" i="188"/>
  <c r="J134" i="188"/>
  <c r="C14" i="174"/>
  <c r="C16" i="174" s="1"/>
  <c r="B14" i="174"/>
  <c r="B16" i="174" s="1"/>
  <c r="M15" i="200"/>
  <c r="N15" i="200" s="1"/>
  <c r="B18" i="174"/>
  <c r="F11" i="109"/>
  <c r="E11" i="109" s="1"/>
  <c r="E10" i="109"/>
  <c r="E8" i="109"/>
  <c r="E7" i="109" s="1"/>
  <c r="R383" i="188"/>
  <c r="R384" i="188"/>
  <c r="Q383" i="188"/>
  <c r="Q384" i="188"/>
  <c r="P383" i="188"/>
  <c r="P384" i="188"/>
  <c r="O383" i="188"/>
  <c r="O384" i="188"/>
  <c r="I351" i="188"/>
  <c r="E351" i="188"/>
  <c r="E350" i="188"/>
  <c r="G349" i="188"/>
  <c r="H349" i="188"/>
  <c r="F349" i="188"/>
  <c r="K242" i="188"/>
  <c r="K241" i="188"/>
  <c r="K136" i="188"/>
  <c r="G146" i="188" s="1"/>
  <c r="F146" i="188" s="1"/>
  <c r="K79" i="188"/>
  <c r="G89" i="188" s="1"/>
  <c r="F89" i="188" s="1"/>
  <c r="K298" i="188"/>
  <c r="G308" i="188" s="1"/>
  <c r="F308" i="188" s="1"/>
  <c r="C37" i="176"/>
  <c r="H350" i="188"/>
  <c r="H351" i="188"/>
  <c r="G350" i="188"/>
  <c r="G351" i="188"/>
  <c r="F350" i="188"/>
  <c r="J350" i="188" s="1"/>
  <c r="F351" i="188"/>
  <c r="F6" i="109"/>
  <c r="E6" i="109" s="1"/>
  <c r="F10" i="109"/>
  <c r="B15" i="177"/>
  <c r="B16" i="177" s="1"/>
  <c r="J135" i="188"/>
  <c r="J296" i="188"/>
  <c r="G381" i="188"/>
  <c r="E31" i="178"/>
  <c r="H28" i="178"/>
  <c r="F381" i="188"/>
  <c r="E377" i="188"/>
  <c r="E375" i="188"/>
  <c r="E373" i="188"/>
  <c r="E370" i="188"/>
  <c r="E365" i="188"/>
  <c r="E363" i="188"/>
  <c r="E362" i="188"/>
  <c r="I350" i="188"/>
  <c r="I349" i="188"/>
  <c r="J327" i="188"/>
  <c r="E325" i="188"/>
  <c r="E314" i="188"/>
  <c r="I298" i="188"/>
  <c r="H298" i="188"/>
  <c r="G298" i="188"/>
  <c r="F298" i="188"/>
  <c r="E298" i="188"/>
  <c r="J273" i="188"/>
  <c r="E271" i="188"/>
  <c r="E260" i="188"/>
  <c r="I244" i="188"/>
  <c r="H244" i="188"/>
  <c r="G244" i="188"/>
  <c r="F244" i="188"/>
  <c r="E244" i="188"/>
  <c r="J218" i="188"/>
  <c r="E216" i="188"/>
  <c r="E205" i="188"/>
  <c r="I189" i="188"/>
  <c r="H189" i="188"/>
  <c r="G189" i="188"/>
  <c r="F189" i="188"/>
  <c r="E189" i="188"/>
  <c r="J165" i="188"/>
  <c r="E163" i="188"/>
  <c r="E152" i="188"/>
  <c r="I136" i="188"/>
  <c r="H136" i="188"/>
  <c r="G136" i="188"/>
  <c r="F136" i="188"/>
  <c r="E136" i="188"/>
  <c r="J108" i="188"/>
  <c r="E106" i="188"/>
  <c r="E379" i="188" s="1"/>
  <c r="E95" i="188"/>
  <c r="I79" i="188"/>
  <c r="H79" i="188"/>
  <c r="G79" i="188"/>
  <c r="F79" i="188"/>
  <c r="E79" i="188"/>
  <c r="C17" i="172"/>
  <c r="B17" i="172"/>
  <c r="C9" i="181"/>
  <c r="H28" i="183"/>
  <c r="E28" i="183"/>
  <c r="G28" i="183"/>
  <c r="F28" i="183"/>
  <c r="D28" i="183"/>
  <c r="C15" i="183"/>
  <c r="C10" i="184" s="1"/>
  <c r="B15" i="183"/>
  <c r="B10" i="184" s="1"/>
  <c r="AZ10" i="185"/>
  <c r="AS10" i="185"/>
  <c r="B9" i="185"/>
  <c r="C9" i="185" s="1"/>
  <c r="D9" i="185" s="1"/>
  <c r="E9" i="185" s="1"/>
  <c r="F9" i="185" s="1"/>
  <c r="G9" i="185" s="1"/>
  <c r="H9" i="185" s="1"/>
  <c r="I9" i="185" s="1"/>
  <c r="J9" i="185" s="1"/>
  <c r="K9" i="185" s="1"/>
  <c r="L9" i="185" s="1"/>
  <c r="M9" i="185" s="1"/>
  <c r="N9" i="185" s="1"/>
  <c r="O9" i="185" s="1"/>
  <c r="P9" i="185" s="1"/>
  <c r="Q9" i="185" s="1"/>
  <c r="R9" i="185" s="1"/>
  <c r="S9" i="185" s="1"/>
  <c r="T9" i="185" s="1"/>
  <c r="U9" i="185" s="1"/>
  <c r="V9" i="185" s="1"/>
  <c r="W9" i="185" s="1"/>
  <c r="X9" i="185" s="1"/>
  <c r="Y9" i="185" s="1"/>
  <c r="Z9" i="185" s="1"/>
  <c r="AA9" i="185" s="1"/>
  <c r="AB9" i="185" s="1"/>
  <c r="AC9" i="185" s="1"/>
  <c r="AD9" i="185" s="1"/>
  <c r="AE9" i="185" s="1"/>
  <c r="AF9" i="185" s="1"/>
  <c r="AG9" i="185" s="1"/>
  <c r="AH9" i="185" s="1"/>
  <c r="AI9" i="185" s="1"/>
  <c r="AJ9" i="185" s="1"/>
  <c r="AK9" i="185" s="1"/>
  <c r="AL9" i="185" s="1"/>
  <c r="AM9" i="185" s="1"/>
  <c r="AN9" i="185" s="1"/>
  <c r="AO9" i="185" s="1"/>
  <c r="AP9" i="185" s="1"/>
  <c r="AQ9" i="185" s="1"/>
  <c r="AR9" i="185" s="1"/>
  <c r="AS9" i="185" s="1"/>
  <c r="AT9" i="185" s="1"/>
  <c r="AU9" i="185" s="1"/>
  <c r="AV9" i="185" s="1"/>
  <c r="AW9" i="185" s="1"/>
  <c r="AX9" i="185" s="1"/>
  <c r="AY9" i="185" s="1"/>
  <c r="AZ9" i="185" s="1"/>
  <c r="BA9" i="185" s="1"/>
  <c r="BB9" i="185" s="1"/>
  <c r="BC9" i="185" s="1"/>
  <c r="BD9" i="185" s="1"/>
  <c r="S10" i="185"/>
  <c r="AP10" i="185"/>
  <c r="AU10" i="185"/>
  <c r="I20" i="183"/>
  <c r="J20" i="183"/>
  <c r="K20" i="183"/>
  <c r="I21" i="183"/>
  <c r="J21" i="183"/>
  <c r="K21" i="183"/>
  <c r="I22" i="183"/>
  <c r="J22" i="183"/>
  <c r="K22" i="183"/>
  <c r="B23" i="183"/>
  <c r="I24" i="183"/>
  <c r="J24" i="183"/>
  <c r="K24" i="183"/>
  <c r="I25" i="183"/>
  <c r="J25" i="183"/>
  <c r="K25" i="183"/>
  <c r="I27" i="183"/>
  <c r="J27" i="183"/>
  <c r="K27" i="183"/>
  <c r="B28" i="183"/>
  <c r="C28" i="183"/>
  <c r="BC10" i="185"/>
  <c r="F28" i="178"/>
  <c r="I28" i="178" s="1"/>
  <c r="D28" i="178"/>
  <c r="D20" i="109"/>
  <c r="D22" i="109"/>
  <c r="D7" i="109"/>
  <c r="D24" i="109"/>
  <c r="D8" i="109"/>
  <c r="D11" i="109"/>
  <c r="D14" i="109"/>
  <c r="D16" i="109"/>
  <c r="D21" i="109"/>
  <c r="D25" i="109"/>
  <c r="K25" i="178"/>
  <c r="B10" i="177"/>
  <c r="C10" i="177"/>
  <c r="D10" i="177"/>
  <c r="D9" i="181"/>
  <c r="D24" i="181"/>
  <c r="D25" i="181"/>
  <c r="B13" i="172"/>
  <c r="B15" i="172" s="1"/>
  <c r="C13" i="172"/>
  <c r="C15" i="172" s="1"/>
  <c r="C16" i="172"/>
  <c r="B20" i="172"/>
  <c r="B24" i="172" s="1"/>
  <c r="B14" i="170"/>
  <c r="B16" i="170" s="1"/>
  <c r="C14" i="170"/>
  <c r="C16" i="170" s="1"/>
  <c r="B17" i="170"/>
  <c r="C17" i="170"/>
  <c r="C20" i="170" s="1"/>
  <c r="B14" i="168"/>
  <c r="C14" i="168"/>
  <c r="B15" i="168"/>
  <c r="C15" i="168"/>
  <c r="B16" i="168"/>
  <c r="C16" i="168"/>
  <c r="B17" i="168"/>
  <c r="C17" i="168"/>
  <c r="C20" i="168" s="1"/>
  <c r="B20" i="168"/>
  <c r="B14" i="166"/>
  <c r="C14" i="166"/>
  <c r="B15" i="166"/>
  <c r="C15" i="166"/>
  <c r="B16" i="166"/>
  <c r="C16" i="166"/>
  <c r="B18" i="178"/>
  <c r="B23" i="178"/>
  <c r="B28" i="178"/>
  <c r="C18" i="178"/>
  <c r="C23" i="178"/>
  <c r="C28" i="178"/>
  <c r="I20" i="178"/>
  <c r="J20" i="178"/>
  <c r="K20" i="178"/>
  <c r="I21" i="178"/>
  <c r="J21" i="178"/>
  <c r="K21" i="178"/>
  <c r="I22" i="178"/>
  <c r="J22" i="178"/>
  <c r="K22" i="178"/>
  <c r="I24" i="178"/>
  <c r="J24" i="178"/>
  <c r="K24" i="178"/>
  <c r="I25" i="178"/>
  <c r="I27" i="178"/>
  <c r="J27" i="178"/>
  <c r="K27" i="178"/>
  <c r="D6" i="109"/>
  <c r="D10" i="109"/>
  <c r="C12" i="109"/>
  <c r="D12" i="109"/>
  <c r="C13" i="109"/>
  <c r="D13" i="109"/>
  <c r="D15" i="109"/>
  <c r="C14" i="109"/>
  <c r="C15" i="109"/>
  <c r="C16" i="109"/>
  <c r="C17" i="109"/>
  <c r="D17" i="109"/>
  <c r="C18" i="109"/>
  <c r="D18" i="109"/>
  <c r="C19" i="109"/>
  <c r="D19" i="109"/>
  <c r="C20" i="109"/>
  <c r="C22" i="109"/>
  <c r="C25" i="109"/>
  <c r="C27" i="109"/>
  <c r="D27" i="109"/>
  <c r="C28" i="109"/>
  <c r="D28" i="109"/>
  <c r="G28" i="178"/>
  <c r="J28" i="178" s="1"/>
  <c r="J25" i="178"/>
  <c r="K28" i="178"/>
  <c r="H100" i="188"/>
  <c r="H210" i="188"/>
  <c r="H214" i="188"/>
  <c r="H161" i="188"/>
  <c r="H200" i="188"/>
  <c r="H212" i="188"/>
  <c r="H222" i="188"/>
  <c r="E10" i="177"/>
  <c r="H331" i="188"/>
  <c r="B16" i="172"/>
  <c r="F23" i="178"/>
  <c r="C11" i="109"/>
  <c r="G352" i="188"/>
  <c r="J244" i="188"/>
  <c r="H238" i="188" s="1"/>
  <c r="H323" i="188" l="1"/>
  <c r="K28" i="183"/>
  <c r="E220" i="188"/>
  <c r="E275" i="188"/>
  <c r="H275" i="188" s="1"/>
  <c r="E329" i="188"/>
  <c r="H329" i="188" s="1"/>
  <c r="J28" i="183"/>
  <c r="J189" i="188"/>
  <c r="J79" i="188"/>
  <c r="H73" i="188" s="1"/>
  <c r="H309" i="188"/>
  <c r="H311" i="188"/>
  <c r="J19" i="178"/>
  <c r="H316" i="188"/>
  <c r="H325" i="188"/>
  <c r="H262" i="188"/>
  <c r="H254" i="188"/>
  <c r="H308" i="188"/>
  <c r="H271" i="188"/>
  <c r="J308" i="188"/>
  <c r="H321" i="188"/>
  <c r="I327" i="188"/>
  <c r="I108" i="188"/>
  <c r="I28" i="183"/>
  <c r="P385" i="188"/>
  <c r="R385" i="188"/>
  <c r="E368" i="188"/>
  <c r="E383" i="188" s="1"/>
  <c r="H383" i="188" s="1"/>
  <c r="M373" i="188"/>
  <c r="G386" i="188"/>
  <c r="H163" i="188"/>
  <c r="K19" i="178"/>
  <c r="G23" i="178"/>
  <c r="H23" i="178"/>
  <c r="B20" i="170"/>
  <c r="J349" i="188"/>
  <c r="K189" i="188"/>
  <c r="G199" i="188" s="1"/>
  <c r="J199" i="188" s="1"/>
  <c r="B19" i="172"/>
  <c r="B25" i="172" s="1"/>
  <c r="H260" i="188"/>
  <c r="E167" i="188"/>
  <c r="H167" i="188" s="1"/>
  <c r="H352" i="188"/>
  <c r="K244" i="188"/>
  <c r="G254" i="188" s="1"/>
  <c r="J254" i="188" s="1"/>
  <c r="J351" i="188"/>
  <c r="J352" i="188" s="1"/>
  <c r="O385" i="188"/>
  <c r="J136" i="188"/>
  <c r="H130" i="188" s="1"/>
  <c r="J298" i="188"/>
  <c r="H292" i="188" s="1"/>
  <c r="C27" i="174"/>
  <c r="H216" i="188"/>
  <c r="D11" i="176"/>
  <c r="H277" i="188"/>
  <c r="H159" i="188"/>
  <c r="J146" i="188"/>
  <c r="H265" i="188"/>
  <c r="H149" i="188"/>
  <c r="I273" i="188"/>
  <c r="H169" i="188"/>
  <c r="H147" i="188"/>
  <c r="B17" i="166"/>
  <c r="B20" i="166" s="1"/>
  <c r="H314" i="188"/>
  <c r="H199" i="188"/>
  <c r="H97" i="188"/>
  <c r="H95" i="188"/>
  <c r="C21" i="176"/>
  <c r="C39" i="176" s="1"/>
  <c r="C41" i="176"/>
  <c r="B21" i="176"/>
  <c r="B39" i="176" s="1"/>
  <c r="B41" i="176"/>
  <c r="C17" i="174"/>
  <c r="C21" i="174" s="1"/>
  <c r="H16" i="178"/>
  <c r="H18" i="178" s="1"/>
  <c r="B21" i="168"/>
  <c r="B25" i="168" s="1"/>
  <c r="B26" i="168" s="1"/>
  <c r="B21" i="170"/>
  <c r="B25" i="170" s="1"/>
  <c r="H102" i="188"/>
  <c r="H90" i="188"/>
  <c r="H104" i="188"/>
  <c r="H89" i="188"/>
  <c r="H92" i="188"/>
  <c r="H106" i="188"/>
  <c r="B15" i="178"/>
  <c r="B29" i="178" s="1"/>
  <c r="B10" i="179" s="1"/>
  <c r="I218" i="188"/>
  <c r="H207" i="188"/>
  <c r="H205" i="188"/>
  <c r="H202" i="188"/>
  <c r="H220" i="188"/>
  <c r="C15" i="178"/>
  <c r="C29" i="178" s="1"/>
  <c r="C10" i="179" s="1"/>
  <c r="B27" i="170"/>
  <c r="B29" i="170" s="1"/>
  <c r="AT10" i="185"/>
  <c r="D30" i="109"/>
  <c r="D31" i="109" s="1"/>
  <c r="B21" i="166"/>
  <c r="B25" i="166" s="1"/>
  <c r="F30" i="109"/>
  <c r="F31" i="109" s="1"/>
  <c r="F254" i="188"/>
  <c r="F199" i="188"/>
  <c r="E352" i="188"/>
  <c r="H152" i="188"/>
  <c r="H183" i="188"/>
  <c r="H269" i="188"/>
  <c r="H257" i="188"/>
  <c r="H157" i="188"/>
  <c r="H146" i="188"/>
  <c r="H267" i="188"/>
  <c r="I165" i="188"/>
  <c r="I352" i="188"/>
  <c r="F352" i="188"/>
  <c r="Q385" i="188"/>
  <c r="M370" i="188"/>
  <c r="G19" i="183"/>
  <c r="P10" i="179"/>
  <c r="C22" i="174"/>
  <c r="B29" i="183"/>
  <c r="C19" i="172"/>
  <c r="E110" i="188"/>
  <c r="H110" i="188" s="1"/>
  <c r="B17" i="174"/>
  <c r="B21" i="174" s="1"/>
  <c r="I345" i="188"/>
  <c r="P360" i="188" s="1"/>
  <c r="F17" i="178"/>
  <c r="F19" i="183"/>
  <c r="H19" i="183"/>
  <c r="D19" i="178"/>
  <c r="E23" i="178"/>
  <c r="E30" i="109"/>
  <c r="E31" i="109" s="1"/>
  <c r="K365" i="188"/>
  <c r="M365" i="188" s="1"/>
  <c r="K363" i="188"/>
  <c r="K375" i="188"/>
  <c r="K377" i="188"/>
  <c r="H14" i="200"/>
  <c r="H346" i="188" l="1"/>
  <c r="K199" i="188"/>
  <c r="K308" i="188"/>
  <c r="K254" i="188"/>
  <c r="B26" i="170"/>
  <c r="K146" i="188"/>
  <c r="N14" i="200"/>
  <c r="B26" i="166"/>
  <c r="B28" i="166" s="1"/>
  <c r="G16" i="178"/>
  <c r="F16" i="178" s="1"/>
  <c r="O360" i="188"/>
  <c r="O365" i="188" s="1"/>
  <c r="B27" i="168"/>
  <c r="B28" i="168" s="1"/>
  <c r="R360" i="188"/>
  <c r="R363" i="188" s="1"/>
  <c r="G309" i="188" s="1"/>
  <c r="N360" i="188"/>
  <c r="N363" i="188" s="1"/>
  <c r="G90" i="188" s="1"/>
  <c r="Q360" i="188"/>
  <c r="Q365" i="188" s="1"/>
  <c r="G257" i="188" s="1"/>
  <c r="B29" i="166"/>
  <c r="G23" i="183"/>
  <c r="J23" i="183" s="1"/>
  <c r="J19" i="183"/>
  <c r="O10" i="185"/>
  <c r="O10" i="179"/>
  <c r="B22" i="174"/>
  <c r="D19" i="183"/>
  <c r="D23" i="183" s="1"/>
  <c r="D23" i="178"/>
  <c r="I19" i="178"/>
  <c r="K19" i="183"/>
  <c r="H23" i="183"/>
  <c r="K23" i="183" s="1"/>
  <c r="E17" i="178"/>
  <c r="C30" i="174"/>
  <c r="C23" i="174"/>
  <c r="J14" i="200"/>
  <c r="J23" i="178"/>
  <c r="K23" i="178"/>
  <c r="F23" i="183"/>
  <c r="H368" i="188"/>
  <c r="I381" i="188"/>
  <c r="H377" i="188"/>
  <c r="H370" i="188"/>
  <c r="H362" i="188"/>
  <c r="H379" i="188"/>
  <c r="J381" i="188"/>
  <c r="H365" i="188"/>
  <c r="H363" i="188"/>
  <c r="H373" i="188"/>
  <c r="H375" i="188"/>
  <c r="H385" i="188"/>
  <c r="K89" i="188"/>
  <c r="J89" i="188"/>
  <c r="G362" i="188"/>
  <c r="I89" i="188"/>
  <c r="C10" i="185"/>
  <c r="H16" i="183"/>
  <c r="K368" i="188"/>
  <c r="X14" i="200"/>
  <c r="T14" i="200"/>
  <c r="L14" i="200"/>
  <c r="M375" i="188"/>
  <c r="K379" i="188"/>
  <c r="I254" i="188"/>
  <c r="I146" i="188"/>
  <c r="I308" i="188"/>
  <c r="I199" i="188"/>
  <c r="Q370" i="188"/>
  <c r="G262" i="188" s="1"/>
  <c r="Q377" i="188"/>
  <c r="G269" i="188" s="1"/>
  <c r="R375" i="188"/>
  <c r="P365" i="188"/>
  <c r="P370" i="188"/>
  <c r="P375" i="188"/>
  <c r="P373" i="188"/>
  <c r="P363" i="188"/>
  <c r="P377" i="188"/>
  <c r="N375" i="188"/>
  <c r="R365" i="188" l="1"/>
  <c r="R377" i="188"/>
  <c r="O375" i="188"/>
  <c r="B27" i="166"/>
  <c r="R370" i="188"/>
  <c r="R373" i="188"/>
  <c r="I19" i="183"/>
  <c r="G18" i="178"/>
  <c r="P10" i="184"/>
  <c r="O10" i="184" s="1"/>
  <c r="H18" i="183"/>
  <c r="G16" i="183"/>
  <c r="I23" i="183"/>
  <c r="O377" i="188"/>
  <c r="N373" i="188"/>
  <c r="G100" i="188" s="1"/>
  <c r="G102" i="188" s="1"/>
  <c r="F102" i="188" s="1"/>
  <c r="O370" i="188"/>
  <c r="F154" i="188" s="1"/>
  <c r="N377" i="188"/>
  <c r="G104" i="188" s="1"/>
  <c r="G377" i="188" s="1"/>
  <c r="N370" i="188"/>
  <c r="G97" i="188" s="1"/>
  <c r="N365" i="188"/>
  <c r="G92" i="188" s="1"/>
  <c r="J92" i="188" s="1"/>
  <c r="O363" i="188"/>
  <c r="F147" i="188" s="1"/>
  <c r="O373" i="188"/>
  <c r="F157" i="188" s="1"/>
  <c r="I157" i="188" s="1"/>
  <c r="F90" i="188"/>
  <c r="Q363" i="188"/>
  <c r="G255" i="188" s="1"/>
  <c r="J255" i="188" s="1"/>
  <c r="F362" i="188"/>
  <c r="I362" i="188" s="1"/>
  <c r="Q375" i="188"/>
  <c r="Q373" i="188"/>
  <c r="G265" i="188" s="1"/>
  <c r="G267" i="188" s="1"/>
  <c r="G271" i="188" s="1"/>
  <c r="J271" i="188" s="1"/>
  <c r="B30" i="174"/>
  <c r="B23" i="174"/>
  <c r="V14" i="200"/>
  <c r="R14" i="200"/>
  <c r="Z14" i="200"/>
  <c r="C31" i="174"/>
  <c r="C33" i="174" s="1"/>
  <c r="C34" i="174" s="1"/>
  <c r="D17" i="178"/>
  <c r="J17" i="178"/>
  <c r="K17" i="178"/>
  <c r="B10" i="185"/>
  <c r="E16" i="178"/>
  <c r="F18" i="178"/>
  <c r="F388" i="188"/>
  <c r="G388" i="188" s="1"/>
  <c r="I23" i="178"/>
  <c r="L362" i="188"/>
  <c r="J362" i="188"/>
  <c r="F214" i="188"/>
  <c r="I214" i="188" s="1"/>
  <c r="F200" i="188"/>
  <c r="F210" i="188"/>
  <c r="I210" i="188" s="1"/>
  <c r="F207" i="188"/>
  <c r="F161" i="188"/>
  <c r="I161" i="188" s="1"/>
  <c r="M368" i="188"/>
  <c r="K383" i="188"/>
  <c r="AD14" i="200"/>
  <c r="I10" i="185" s="1"/>
  <c r="P14" i="200"/>
  <c r="J210" i="188"/>
  <c r="J207" i="188"/>
  <c r="F202" i="188"/>
  <c r="I202" i="188" s="1"/>
  <c r="J202" i="188"/>
  <c r="F323" i="188"/>
  <c r="I323" i="188" s="1"/>
  <c r="J323" i="188"/>
  <c r="F309" i="188"/>
  <c r="J309" i="188"/>
  <c r="G314" i="188"/>
  <c r="G321" i="188"/>
  <c r="G325" i="188" s="1"/>
  <c r="J325" i="188" s="1"/>
  <c r="F319" i="188"/>
  <c r="I319" i="188" s="1"/>
  <c r="J319" i="188"/>
  <c r="F316" i="188"/>
  <c r="J316" i="188"/>
  <c r="F311" i="188"/>
  <c r="I311" i="188" s="1"/>
  <c r="J311" i="188"/>
  <c r="J161" i="188"/>
  <c r="J147" i="188"/>
  <c r="G152" i="188"/>
  <c r="J154" i="188"/>
  <c r="G159" i="188"/>
  <c r="F159" i="188" s="1"/>
  <c r="J157" i="188"/>
  <c r="F149" i="188"/>
  <c r="I149" i="188" s="1"/>
  <c r="J149" i="188"/>
  <c r="F269" i="188"/>
  <c r="I269" i="188" s="1"/>
  <c r="J269" i="188"/>
  <c r="F262" i="188"/>
  <c r="J262" i="188"/>
  <c r="F257" i="188"/>
  <c r="I257" i="188" s="1"/>
  <c r="J257" i="188"/>
  <c r="F97" i="188" l="1"/>
  <c r="F370" i="188" s="1"/>
  <c r="J97" i="188"/>
  <c r="F104" i="188"/>
  <c r="F377" i="188" s="1"/>
  <c r="F265" i="188"/>
  <c r="I265" i="188" s="1"/>
  <c r="J100" i="188"/>
  <c r="AC10" i="185"/>
  <c r="AA12" i="185"/>
  <c r="AA13" i="185" s="1"/>
  <c r="AB13" i="185" s="1"/>
  <c r="F92" i="188"/>
  <c r="F365" i="188" s="1"/>
  <c r="F16" i="183"/>
  <c r="G18" i="183"/>
  <c r="F255" i="188"/>
  <c r="I255" i="188" s="1"/>
  <c r="U10" i="185"/>
  <c r="F100" i="188"/>
  <c r="I100" i="188" s="1"/>
  <c r="G260" i="188"/>
  <c r="G275" i="188" s="1"/>
  <c r="J90" i="188"/>
  <c r="J265" i="188"/>
  <c r="G365" i="188"/>
  <c r="J365" i="188" s="1"/>
  <c r="G370" i="188"/>
  <c r="L370" i="188" s="1"/>
  <c r="G95" i="188"/>
  <c r="J95" i="188" s="1"/>
  <c r="G205" i="188"/>
  <c r="J205" i="188" s="1"/>
  <c r="G363" i="188"/>
  <c r="L363" i="188" s="1"/>
  <c r="J214" i="188"/>
  <c r="J104" i="188"/>
  <c r="G212" i="188"/>
  <c r="F212" i="188" s="1"/>
  <c r="I212" i="188" s="1"/>
  <c r="G373" i="188"/>
  <c r="J373" i="188" s="1"/>
  <c r="J200" i="188"/>
  <c r="B31" i="174"/>
  <c r="B33" i="174" s="1"/>
  <c r="B34" i="174" s="1"/>
  <c r="AE10" i="185"/>
  <c r="AK10" i="185"/>
  <c r="K17" i="183"/>
  <c r="J17" i="183"/>
  <c r="D16" i="178"/>
  <c r="K16" i="178"/>
  <c r="E18" i="178"/>
  <c r="J16" i="178"/>
  <c r="I17" i="183"/>
  <c r="I17" i="178"/>
  <c r="AB14" i="200"/>
  <c r="G10" i="185" s="1"/>
  <c r="I262" i="188"/>
  <c r="F267" i="188"/>
  <c r="I267" i="188" s="1"/>
  <c r="J267" i="188"/>
  <c r="F260" i="188"/>
  <c r="I159" i="188"/>
  <c r="J159" i="188"/>
  <c r="I154" i="188"/>
  <c r="F163" i="188"/>
  <c r="I163" i="188" s="1"/>
  <c r="J152" i="188"/>
  <c r="I147" i="188"/>
  <c r="F152" i="188"/>
  <c r="I316" i="188"/>
  <c r="F321" i="188"/>
  <c r="I321" i="188" s="1"/>
  <c r="J321" i="188"/>
  <c r="G329" i="188"/>
  <c r="J314" i="188"/>
  <c r="I309" i="188"/>
  <c r="F314" i="188"/>
  <c r="I207" i="188"/>
  <c r="I200" i="188"/>
  <c r="F205" i="188"/>
  <c r="J102" i="188"/>
  <c r="I90" i="188"/>
  <c r="F363" i="188"/>
  <c r="I363" i="188" s="1"/>
  <c r="J377" i="188"/>
  <c r="L377" i="188"/>
  <c r="I104" i="188"/>
  <c r="G163" i="188"/>
  <c r="J163" i="188" s="1"/>
  <c r="G106" i="188"/>
  <c r="J106" i="188" s="1"/>
  <c r="F95" i="188" l="1"/>
  <c r="I92" i="188"/>
  <c r="J212" i="188"/>
  <c r="F106" i="188"/>
  <c r="I106" i="188" s="1"/>
  <c r="F373" i="188"/>
  <c r="I97" i="188"/>
  <c r="AA14" i="185"/>
  <c r="AB14" i="185"/>
  <c r="E16" i="183"/>
  <c r="K16" i="183" s="1"/>
  <c r="F18" i="183"/>
  <c r="G387" i="188"/>
  <c r="J260" i="188"/>
  <c r="J370" i="188"/>
  <c r="L373" i="188"/>
  <c r="G375" i="188"/>
  <c r="J375" i="188" s="1"/>
  <c r="G216" i="188"/>
  <c r="J216" i="188" s="1"/>
  <c r="L365" i="188"/>
  <c r="J363" i="188"/>
  <c r="G368" i="188"/>
  <c r="J368" i="188" s="1"/>
  <c r="K18" i="178"/>
  <c r="J18" i="178"/>
  <c r="D18" i="178"/>
  <c r="I16" i="178"/>
  <c r="J16" i="183"/>
  <c r="I377" i="188"/>
  <c r="C23" i="181"/>
  <c r="I95" i="188"/>
  <c r="F110" i="188"/>
  <c r="F368" i="188"/>
  <c r="I368" i="188" s="1"/>
  <c r="C20" i="181"/>
  <c r="I370" i="188"/>
  <c r="I102" i="188"/>
  <c r="F375" i="188"/>
  <c r="I373" i="188"/>
  <c r="C21" i="181"/>
  <c r="I365" i="188"/>
  <c r="F387" i="188"/>
  <c r="I205" i="188"/>
  <c r="I314" i="188"/>
  <c r="J329" i="188"/>
  <c r="I152" i="188"/>
  <c r="F167" i="188"/>
  <c r="I167" i="188" s="1"/>
  <c r="I260" i="188"/>
  <c r="J275" i="188"/>
  <c r="G110" i="188"/>
  <c r="F216" i="188"/>
  <c r="I216" i="188" s="1"/>
  <c r="F325" i="188"/>
  <c r="I325" i="188" s="1"/>
  <c r="G167" i="188"/>
  <c r="G170" i="188" s="1"/>
  <c r="F271" i="188"/>
  <c r="I271" i="188" s="1"/>
  <c r="G220" i="188" l="1"/>
  <c r="J220" i="188" s="1"/>
  <c r="G379" i="188"/>
  <c r="G383" i="188" s="1"/>
  <c r="D16" i="183"/>
  <c r="E18" i="183"/>
  <c r="K18" i="183" s="1"/>
  <c r="L375" i="188"/>
  <c r="J379" i="188"/>
  <c r="L368" i="188"/>
  <c r="I18" i="178"/>
  <c r="J167" i="188"/>
  <c r="J110" i="188"/>
  <c r="C24" i="109"/>
  <c r="Q362" i="188"/>
  <c r="G278" i="188"/>
  <c r="R362" i="188"/>
  <c r="G332" i="188"/>
  <c r="P362" i="188"/>
  <c r="C22" i="181"/>
  <c r="C24" i="181" s="1"/>
  <c r="C25" i="181" s="1"/>
  <c r="C26" i="181" s="1"/>
  <c r="I375" i="188"/>
  <c r="I110" i="188"/>
  <c r="F275" i="188"/>
  <c r="I275" i="188" s="1"/>
  <c r="F329" i="188"/>
  <c r="I329" i="188" s="1"/>
  <c r="F220" i="188"/>
  <c r="I220" i="188" s="1"/>
  <c r="F379" i="188"/>
  <c r="I379" i="188" s="1"/>
  <c r="G389" i="188" l="1"/>
  <c r="J383" i="188"/>
  <c r="L379" i="188"/>
  <c r="G223" i="188"/>
  <c r="J18" i="183"/>
  <c r="D18" i="183"/>
  <c r="I18" i="183" s="1"/>
  <c r="I16" i="183"/>
  <c r="L383" i="188"/>
  <c r="N362" i="188"/>
  <c r="G113" i="188"/>
  <c r="O362" i="188"/>
  <c r="F383" i="188"/>
  <c r="I383" i="188" l="1"/>
  <c r="F389" i="188"/>
  <c r="C13" i="177"/>
  <c r="C17" i="166"/>
  <c r="C20" i="166" s="1"/>
  <c r="P12" i="183" l="1"/>
  <c r="P14" i="183"/>
  <c r="P13" i="183"/>
  <c r="K10" i="185"/>
  <c r="AX10" i="185" s="1"/>
  <c r="E13" i="177"/>
  <c r="H31" i="178"/>
  <c r="AR10" i="185" l="1"/>
  <c r="AG10" i="185"/>
  <c r="AI10" i="185"/>
  <c r="P11" i="183"/>
  <c r="O13" i="183"/>
  <c r="O14" i="183"/>
  <c r="O12" i="183"/>
  <c r="N12" i="183" l="1"/>
  <c r="K12" i="183"/>
  <c r="J12" i="183"/>
  <c r="N14" i="183"/>
  <c r="K14" i="183"/>
  <c r="J14" i="183"/>
  <c r="N13" i="183"/>
  <c r="K13" i="183"/>
  <c r="J13" i="183"/>
  <c r="O11" i="183"/>
  <c r="N11" i="183" l="1"/>
  <c r="K11" i="183"/>
  <c r="J11" i="183"/>
  <c r="M13" i="183"/>
  <c r="I13" i="183"/>
  <c r="M14" i="183"/>
  <c r="I14" i="183"/>
  <c r="M12" i="183"/>
  <c r="I12" i="183"/>
  <c r="C10" i="109"/>
  <c r="M11" i="183" l="1"/>
  <c r="I11" i="183"/>
  <c r="BB10" i="185" l="1"/>
  <c r="C21" i="166" l="1"/>
  <c r="C25" i="166" s="1"/>
  <c r="C26" i="166" s="1"/>
  <c r="D26" i="166" s="1"/>
  <c r="C29" i="166" l="1"/>
  <c r="C27" i="166"/>
  <c r="C28" i="166" s="1"/>
  <c r="C21" i="168" l="1"/>
  <c r="C25" i="168" s="1"/>
  <c r="C26" i="168" s="1"/>
  <c r="C27" i="168" l="1"/>
  <c r="C28" i="168" s="1"/>
  <c r="C29" i="168"/>
  <c r="C21" i="109" l="1"/>
  <c r="T10" i="185" l="1"/>
  <c r="N10" i="184" l="1"/>
  <c r="M10" i="184" l="1"/>
  <c r="N10" i="179" l="1"/>
  <c r="C16" i="183"/>
  <c r="C18" i="183" s="1"/>
  <c r="C29" i="183" s="1"/>
  <c r="M10" i="179" l="1"/>
  <c r="N10" i="185"/>
  <c r="P10" i="185" s="1"/>
  <c r="C14" i="177" l="1"/>
  <c r="C15" i="177" s="1"/>
  <c r="C16" i="177" s="1"/>
  <c r="C21" i="170"/>
  <c r="C25" i="170" s="1"/>
  <c r="C26" i="170" s="1"/>
  <c r="C26" i="172"/>
  <c r="C28" i="172" s="1"/>
  <c r="C20" i="172"/>
  <c r="C24" i="172" s="1"/>
  <c r="C25" i="172" s="1"/>
  <c r="C27" i="170" l="1"/>
  <c r="C29" i="170" s="1"/>
  <c r="C18" i="177"/>
  <c r="C19" i="177" s="1"/>
  <c r="BA10" i="185" l="1"/>
  <c r="D14" i="177"/>
  <c r="E14" i="177" l="1"/>
  <c r="E15" i="177" s="1"/>
  <c r="E16" i="177" s="1"/>
  <c r="D15" i="177"/>
  <c r="D16" i="177" s="1"/>
  <c r="V10" i="185" l="1"/>
  <c r="W10" i="185" l="1"/>
  <c r="Y10" i="185" s="1"/>
  <c r="C6" i="109"/>
  <c r="AV10" i="185" l="1"/>
  <c r="X10" i="185"/>
  <c r="Z10" i="185" l="1"/>
  <c r="AA10" i="185"/>
  <c r="AW10" i="185" l="1"/>
  <c r="AY10" i="185" s="1"/>
  <c r="C8" i="109" l="1"/>
  <c r="C7" i="109" l="1"/>
  <c r="C30" i="109" s="1"/>
  <c r="C31" i="109" s="1"/>
  <c r="H15" i="178"/>
  <c r="F332" i="188"/>
  <c r="F170" i="188"/>
  <c r="F113" i="188"/>
  <c r="E14" i="178" l="1"/>
  <c r="D14" i="178" s="1"/>
  <c r="E12" i="178"/>
  <c r="D12" i="178" s="1"/>
  <c r="G15" i="178"/>
  <c r="F278" i="188"/>
  <c r="F223" i="188"/>
  <c r="D10" i="178"/>
  <c r="E11" i="178"/>
  <c r="D11" i="178" s="1"/>
  <c r="E13" i="178"/>
  <c r="D13" i="178" s="1"/>
  <c r="H29" i="178"/>
  <c r="F15" i="178" l="1"/>
  <c r="G29" i="178"/>
  <c r="H32" i="178"/>
  <c r="G390" i="188"/>
  <c r="H10" i="179"/>
  <c r="K11" i="178" l="1"/>
  <c r="G169" i="188"/>
  <c r="J169" i="188" s="1"/>
  <c r="J11" i="178"/>
  <c r="T10" i="179"/>
  <c r="G222" i="188"/>
  <c r="J222" i="188" s="1"/>
  <c r="K12" i="178"/>
  <c r="J12" i="178"/>
  <c r="K14" i="178"/>
  <c r="G331" i="188"/>
  <c r="J331" i="188" s="1"/>
  <c r="J14" i="178"/>
  <c r="F29" i="178"/>
  <c r="F390" i="188"/>
  <c r="G10" i="179"/>
  <c r="G112" i="188"/>
  <c r="E15" i="178"/>
  <c r="K10" i="178"/>
  <c r="J10" i="178"/>
  <c r="G277" i="188"/>
  <c r="J277" i="188" s="1"/>
  <c r="K13" i="178"/>
  <c r="J13" i="178"/>
  <c r="F277" i="188" l="1"/>
  <c r="I277" i="188" s="1"/>
  <c r="I13" i="178"/>
  <c r="F112" i="188"/>
  <c r="D15" i="178"/>
  <c r="I10" i="178"/>
  <c r="S10" i="179"/>
  <c r="F10" i="179"/>
  <c r="E29" i="178"/>
  <c r="K15" i="178"/>
  <c r="J15" i="178"/>
  <c r="G385" i="188"/>
  <c r="J385" i="188" s="1"/>
  <c r="J112" i="188"/>
  <c r="F331" i="188"/>
  <c r="I331" i="188" s="1"/>
  <c r="I14" i="178"/>
  <c r="F222" i="188"/>
  <c r="I222" i="188" s="1"/>
  <c r="I12" i="178"/>
  <c r="F169" i="188"/>
  <c r="I169" i="188" s="1"/>
  <c r="I11" i="178"/>
  <c r="D29" i="178" l="1"/>
  <c r="I15" i="178"/>
  <c r="E10" i="179"/>
  <c r="J10" i="185"/>
  <c r="E32" i="178"/>
  <c r="K29" i="178"/>
  <c r="J29" i="178"/>
  <c r="R10" i="179"/>
  <c r="I112" i="188"/>
  <c r="F385" i="188"/>
  <c r="I385" i="188" s="1"/>
  <c r="K10" i="179" l="1"/>
  <c r="J10" i="179"/>
  <c r="W10" i="179"/>
  <c r="D10" i="179"/>
  <c r="I10" i="179" s="1"/>
  <c r="I29" i="178"/>
  <c r="Q10" i="185"/>
  <c r="R10" i="185" s="1"/>
  <c r="L10" i="185"/>
  <c r="M10" i="185" s="1"/>
  <c r="V10" i="179"/>
  <c r="H10" i="183"/>
  <c r="G10" i="183" l="1"/>
  <c r="H15" i="183"/>
  <c r="U10" i="179"/>
  <c r="H29" i="183" l="1"/>
  <c r="G15" i="183"/>
  <c r="P10" i="183"/>
  <c r="F10" i="183"/>
  <c r="E10" i="183" l="1"/>
  <c r="F15" i="183"/>
  <c r="O10" i="183"/>
  <c r="G29" i="183"/>
  <c r="H10" i="184"/>
  <c r="G10" i="184" l="1"/>
  <c r="N10" i="183"/>
  <c r="D10" i="183"/>
  <c r="E15" i="183"/>
  <c r="K10" i="183"/>
  <c r="J10" i="183"/>
  <c r="T10" i="184"/>
  <c r="F29" i="183"/>
  <c r="F10" i="184" l="1"/>
  <c r="D15" i="183"/>
  <c r="M10" i="183"/>
  <c r="I10" i="183"/>
  <c r="E29" i="183"/>
  <c r="K15" i="183"/>
  <c r="J15" i="183"/>
  <c r="S10" i="184"/>
  <c r="R10" i="184" l="1"/>
  <c r="E10" i="184"/>
  <c r="K29" i="183"/>
  <c r="J29" i="183"/>
  <c r="D29" i="183"/>
  <c r="I15" i="183"/>
  <c r="K10" i="184" l="1"/>
  <c r="W10" i="184"/>
  <c r="J10" i="184"/>
  <c r="D10" i="184"/>
  <c r="I10" i="184" s="1"/>
  <c r="I29" i="183"/>
  <c r="V10" i="184"/>
  <c r="U10" i="184" l="1"/>
</calcChain>
</file>

<file path=xl/sharedStrings.xml><?xml version="1.0" encoding="utf-8"?>
<sst xmlns="http://schemas.openxmlformats.org/spreadsheetml/2006/main" count="2251" uniqueCount="884">
  <si>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</si>
  <si>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</si>
  <si>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</si>
  <si>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</si>
  <si>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</si>
  <si>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</si>
  <si>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</si>
  <si>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</si>
  <si>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</si>
  <si>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</si>
  <si>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</si>
  <si>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</si>
  <si>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</si>
  <si>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</si>
  <si>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</si>
  <si>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Саноат нави ____2____ Вазни ____________</t>
  </si>
  <si>
    <t>Ягона ер солиги</t>
  </si>
  <si>
    <t>Жами тола</t>
  </si>
  <si>
    <t>Техник чигит I сорт</t>
  </si>
  <si>
    <t>Ишлов беришда уругликдан техник чигитга утказилди.</t>
  </si>
  <si>
    <t>А. Бахолардаги фарк</t>
  </si>
  <si>
    <t>саноат нави буйича</t>
  </si>
  <si>
    <t>Хом ашё таркибидаги толанинг</t>
  </si>
  <si>
    <t>Посевн семян</t>
  </si>
  <si>
    <t>Истисно килинади:</t>
  </si>
  <si>
    <t>0 2</t>
  </si>
  <si>
    <t xml:space="preserve">Руководител </t>
  </si>
  <si>
    <t>Уров материаллари</t>
  </si>
  <si>
    <t>2. Ишлов бериш харажатлари</t>
  </si>
  <si>
    <t>0 4</t>
  </si>
  <si>
    <t>Пули туланди</t>
  </si>
  <si>
    <t>Экспортга юборилди</t>
  </si>
  <si>
    <t>Чиким жами :</t>
  </si>
  <si>
    <t>Устав капитали (8300)</t>
  </si>
  <si>
    <t>2. Дооценка остатков продукции</t>
  </si>
  <si>
    <t>3. Выработано товарной продукции</t>
  </si>
  <si>
    <t>4. Реализованно товарной продукции</t>
  </si>
  <si>
    <t xml:space="preserve">          V сорт</t>
  </si>
  <si>
    <t>Руководитель</t>
  </si>
  <si>
    <t xml:space="preserve">     в товарах отгруженных</t>
  </si>
  <si>
    <t>Саноат нави ___4_____ Вазни ____________</t>
  </si>
  <si>
    <t>0 5</t>
  </si>
  <si>
    <t>Тайёрлаш транспорт харажатлари</t>
  </si>
  <si>
    <t>0 1</t>
  </si>
  <si>
    <t>Ишлов беришда гардлар учун хисобдан чикарилди.</t>
  </si>
  <si>
    <r>
      <t xml:space="preserve">МАНЗИЛИ: </t>
    </r>
    <r>
      <rPr>
        <b/>
        <sz val="14"/>
        <rFont val="Arial Cyr"/>
        <charset val="204"/>
      </rPr>
      <t>Иштихон туман Митан кургони А.Темур куч 11 уй</t>
    </r>
  </si>
  <si>
    <t>булган даврда пахта толаси харакатининг</t>
  </si>
  <si>
    <t>БАЛАНСИ</t>
  </si>
  <si>
    <t>НОМИ</t>
  </si>
  <si>
    <t>Урта толали</t>
  </si>
  <si>
    <t>Производственная с-стоимость</t>
  </si>
  <si>
    <t>Затраты на 1 сум</t>
  </si>
  <si>
    <t>ТЕЖАШ</t>
  </si>
  <si>
    <t>по "Митан пахта тозалаш" АЖ</t>
  </si>
  <si>
    <t>"Митан пахта тозалаш" АЖ.да</t>
  </si>
  <si>
    <t>Жами бокиманда</t>
  </si>
  <si>
    <t>2 тасниф</t>
  </si>
  <si>
    <t>022</t>
  </si>
  <si>
    <t>030</t>
  </si>
  <si>
    <t>бахоси  (ст 01+02-03)</t>
  </si>
  <si>
    <t>бахоси чегирилган хом-ашё</t>
  </si>
  <si>
    <t>тической себестоимости</t>
  </si>
  <si>
    <t xml:space="preserve">УЗУН ВА УРТА ТОЛАЛИ </t>
  </si>
  <si>
    <t>КАЛЬКУЛЯЦИЯСИ</t>
  </si>
  <si>
    <t>ларнинг</t>
  </si>
  <si>
    <t>х</t>
  </si>
  <si>
    <t>Кушилган киймат солиги</t>
  </si>
  <si>
    <t>Пенсия жамгармасига ажратма 1,6 %</t>
  </si>
  <si>
    <t>Йул жамгармасига мажбурий тулов 1,4%</t>
  </si>
  <si>
    <t>010</t>
  </si>
  <si>
    <t>011</t>
  </si>
  <si>
    <t>Уруглик чигитга ишлов бериш цехига юборилди.                        (Чигитни экишга мужалланган кисми)</t>
  </si>
  <si>
    <t xml:space="preserve">                    III сорт</t>
  </si>
  <si>
    <t>по утвер</t>
  </si>
  <si>
    <t>ао пл с/с-ти</t>
  </si>
  <si>
    <t>Курсаткичлар номи</t>
  </si>
  <si>
    <t>бошка харажатлар</t>
  </si>
  <si>
    <t>Рентабелност</t>
  </si>
  <si>
    <t xml:space="preserve">Расходы </t>
  </si>
  <si>
    <t>Расходы лента</t>
  </si>
  <si>
    <t>Расход упаковочн</t>
  </si>
  <si>
    <t>Расход затрат</t>
  </si>
  <si>
    <t>Расход топливо на</t>
  </si>
  <si>
    <t>Оснавные средства т.с.</t>
  </si>
  <si>
    <t>Фондо-</t>
  </si>
  <si>
    <t>Наличие соб-</t>
  </si>
  <si>
    <t>Норматив</t>
  </si>
  <si>
    <t>Недостатка</t>
  </si>
  <si>
    <t>Дебиторы</t>
  </si>
  <si>
    <t>Расчёт</t>
  </si>
  <si>
    <t>Креди-</t>
  </si>
  <si>
    <t>предприятий</t>
  </si>
  <si>
    <t>хлопко</t>
  </si>
  <si>
    <t>хлопка-</t>
  </si>
  <si>
    <t>по норме</t>
  </si>
  <si>
    <t>Фактическ</t>
  </si>
  <si>
    <t>товарной</t>
  </si>
  <si>
    <t>ственная</t>
  </si>
  <si>
    <t>затрат на 1</t>
  </si>
  <si>
    <t>елност</t>
  </si>
  <si>
    <t>периода</t>
  </si>
  <si>
    <t>по финан-</t>
  </si>
  <si>
    <t>себестоим</t>
  </si>
  <si>
    <t>рат на 1</t>
  </si>
  <si>
    <t>с учётам</t>
  </si>
  <si>
    <t>1 тонн хлопк-волок (сумма)</t>
  </si>
  <si>
    <t>ручка от</t>
  </si>
  <si>
    <t>овая</t>
  </si>
  <si>
    <t>прибыл оста-</t>
  </si>
  <si>
    <t>реализованной</t>
  </si>
  <si>
    <t>провол. Тонн</t>
  </si>
  <si>
    <t>тыс компл</t>
  </si>
  <si>
    <t>материал тыс компл</t>
  </si>
  <si>
    <t>материал  шал тыс компл</t>
  </si>
  <si>
    <t>Мактаб таълими жамгармасига мажбурий тулов</t>
  </si>
  <si>
    <t>Сатр</t>
  </si>
  <si>
    <t>№</t>
  </si>
  <si>
    <t>120</t>
  </si>
  <si>
    <t>080</t>
  </si>
  <si>
    <t>Тегирмон хизмати</t>
  </si>
  <si>
    <t>БОШ ХИСОБЧИ:</t>
  </si>
  <si>
    <t>Б.Пахта момиги</t>
  </si>
  <si>
    <t>А. Пахта чигити</t>
  </si>
  <si>
    <t>Техник чигитдан уругликка уткааилади</t>
  </si>
  <si>
    <t>План</t>
  </si>
  <si>
    <t>факт</t>
  </si>
  <si>
    <t>плану</t>
  </si>
  <si>
    <t>в)по загатов.транспорт,расход</t>
  </si>
  <si>
    <t>г)по выходам и качеству</t>
  </si>
  <si>
    <t>побочный продукции</t>
  </si>
  <si>
    <t>Расходы по обработке :</t>
  </si>
  <si>
    <t>а) Упаковичные материалы</t>
  </si>
  <si>
    <t>б) Зарплата оснав и допол.</t>
  </si>
  <si>
    <t>в) отчисление в соцстрах</t>
  </si>
  <si>
    <t>г) Общепроизв расходы</t>
  </si>
  <si>
    <t>Итого расходы по обраб.</t>
  </si>
  <si>
    <t>Эконом.</t>
  </si>
  <si>
    <t>0 3</t>
  </si>
  <si>
    <t>Уругчилик МЧЖ</t>
  </si>
  <si>
    <t>Итого</t>
  </si>
  <si>
    <t>Жисмоний шахслардан даромад солиги</t>
  </si>
  <si>
    <t>фактич</t>
  </si>
  <si>
    <t>110</t>
  </si>
  <si>
    <t>020</t>
  </si>
  <si>
    <t>021</t>
  </si>
  <si>
    <t>Саноат нави ____3____ Вазни ____________</t>
  </si>
  <si>
    <t xml:space="preserve">плановая </t>
  </si>
  <si>
    <t>Хисоб буйича хисоб-ланди</t>
  </si>
  <si>
    <t>Пахтанинг харид бахоси</t>
  </si>
  <si>
    <t>Резерв капитали (8500)</t>
  </si>
  <si>
    <t>Металлом</t>
  </si>
  <si>
    <t>Акциз солиги</t>
  </si>
  <si>
    <t>тонна</t>
  </si>
  <si>
    <t>Ишлаб чикаришдан олинди</t>
  </si>
  <si>
    <t>Выработано</t>
  </si>
  <si>
    <t>Бошка киримлар</t>
  </si>
  <si>
    <t>калькуляцияси моддалари</t>
  </si>
  <si>
    <t>Юридик шахслар мол-мулки солиги</t>
  </si>
  <si>
    <t>Юридик шахслардан олинадиган ер солиги</t>
  </si>
  <si>
    <t>Ягона солик тулови</t>
  </si>
  <si>
    <t>Катъий белгиланган солик</t>
  </si>
  <si>
    <t>Катор-</t>
  </si>
  <si>
    <t>Харажатларнинг</t>
  </si>
  <si>
    <t>Хом-ашё бахосининг режавий меъёрларга мос келмаганлиги натижалари</t>
  </si>
  <si>
    <t>ОММ</t>
  </si>
  <si>
    <t>волокна тонн.</t>
  </si>
  <si>
    <t>Гл. бухгалтер</t>
  </si>
  <si>
    <t>буйича</t>
  </si>
  <si>
    <t>ЖАМИ</t>
  </si>
  <si>
    <t>Нетканка</t>
  </si>
  <si>
    <t>Сотиб олинган хусусий акциялар (8600)</t>
  </si>
  <si>
    <t>микдори</t>
  </si>
  <si>
    <t>ишлаб</t>
  </si>
  <si>
    <t>пул</t>
  </si>
  <si>
    <t>хакикий</t>
  </si>
  <si>
    <t>Техник чигитдан уругликга утказилди</t>
  </si>
  <si>
    <t>Кирим жами</t>
  </si>
  <si>
    <t>булган даврда пахтанинг калта момиги  аралашган чикиндилар харакатининг</t>
  </si>
  <si>
    <t>ЖАМИ КИРИМ</t>
  </si>
  <si>
    <t xml:space="preserve">          III сорт</t>
  </si>
  <si>
    <t>Тонна</t>
  </si>
  <si>
    <t>завод омборидаги колдик</t>
  </si>
  <si>
    <t>Пахтани кайта ишлаш харажатла-</t>
  </si>
  <si>
    <t>0 8</t>
  </si>
  <si>
    <t>Ер отси бойликларидан фойдаланганлик учун солик</t>
  </si>
  <si>
    <t xml:space="preserve">Жами уруглик чигит </t>
  </si>
  <si>
    <t>омбордаги колдик</t>
  </si>
  <si>
    <t>Уруглик чигитга ишлов бериш цехидан чикарилган -                   экишга мужалланган чигит кабул килинди -</t>
  </si>
  <si>
    <t>Бошка кирим</t>
  </si>
  <si>
    <t xml:space="preserve">йилги </t>
  </si>
  <si>
    <t>Хисобот</t>
  </si>
  <si>
    <t>Режа</t>
  </si>
  <si>
    <t>Утган</t>
  </si>
  <si>
    <t>Хакикий</t>
  </si>
  <si>
    <t>Бепул иссик овкат</t>
  </si>
  <si>
    <t>4с</t>
  </si>
  <si>
    <t>5с</t>
  </si>
  <si>
    <t>тариф и прочи</t>
  </si>
  <si>
    <t>Юридик шахслардан олинадиган даромад (фойда)</t>
  </si>
  <si>
    <t>Шу жумладан жамгариб бориладиган пенсияга ажратма</t>
  </si>
  <si>
    <t>Ободонлаштириш ва ижтимоий инфратузилмани</t>
  </si>
  <si>
    <t>3 тасниф</t>
  </si>
  <si>
    <t>Волокно 1с</t>
  </si>
  <si>
    <t>ф. ассарт</t>
  </si>
  <si>
    <t>Биолаборатория</t>
  </si>
  <si>
    <t>ПАХТА НАВЛАРИ УЧУН</t>
  </si>
  <si>
    <t>012</t>
  </si>
  <si>
    <t>лар буйича сотиш бахоси</t>
  </si>
  <si>
    <t>Эксперемент хужаликларга  жунатилди</t>
  </si>
  <si>
    <t>Экувчиларга жунатилди</t>
  </si>
  <si>
    <t>Уругликдан техник чигитга утказилди</t>
  </si>
  <si>
    <t>Табиий камайишлар хисобидан чикарилди</t>
  </si>
  <si>
    <t>Ягона ижтимоий тулов 25 %</t>
  </si>
  <si>
    <t>Куритиш тозалаш</t>
  </si>
  <si>
    <t>продукции</t>
  </si>
  <si>
    <t>Махсулот олувчиларга юкланди</t>
  </si>
  <si>
    <t>130</t>
  </si>
  <si>
    <t xml:space="preserve">Бошка кирим </t>
  </si>
  <si>
    <t>Ортикча</t>
  </si>
  <si>
    <t>Б А Л А Н С И</t>
  </si>
  <si>
    <t>Номи</t>
  </si>
  <si>
    <t xml:space="preserve">                    Нестанда</t>
  </si>
  <si>
    <t>Маъмурий харажатлар</t>
  </si>
  <si>
    <t>деятельности</t>
  </si>
  <si>
    <t xml:space="preserve">                    II сорт</t>
  </si>
  <si>
    <t>Эксперемент хужаликларидан олинди</t>
  </si>
  <si>
    <t>Шу жумладан навлар ва таснифлар буйича:</t>
  </si>
  <si>
    <t>Кайта ишланган пахта __________________</t>
  </si>
  <si>
    <t xml:space="preserve">                                          </t>
  </si>
  <si>
    <t xml:space="preserve">Сотилгани учун пул туланди </t>
  </si>
  <si>
    <t>в действ. ценах т.с</t>
  </si>
  <si>
    <t>товарной продукции т.с</t>
  </si>
  <si>
    <t>рининг жами (05+06+07+08)</t>
  </si>
  <si>
    <t>Саноат нави ___ЖАМИ_____ Вазни ____________</t>
  </si>
  <si>
    <t>харажат</t>
  </si>
  <si>
    <t>Наименование</t>
  </si>
  <si>
    <t>Саноат нави ___1_____ Вазни ____________</t>
  </si>
  <si>
    <t>Корхона  директори</t>
  </si>
  <si>
    <t>В. Толали чигитлар</t>
  </si>
  <si>
    <t>Фойда(+)</t>
  </si>
  <si>
    <t>Зарар(-)</t>
  </si>
  <si>
    <t>Чиким жами</t>
  </si>
  <si>
    <t>кийм</t>
  </si>
  <si>
    <t>Барча харажат (м. сум)</t>
  </si>
  <si>
    <t>"Митан пахта тозалаш" АЖ буйича</t>
  </si>
  <si>
    <t xml:space="preserve">                    IV сорт</t>
  </si>
  <si>
    <t>Уругликдан техник чигитга уткааилди</t>
  </si>
  <si>
    <t>ХАММАСИ</t>
  </si>
  <si>
    <t>Тола хаммаси    I сорт</t>
  </si>
  <si>
    <t>Линт экспорт</t>
  </si>
  <si>
    <t>Линт жами</t>
  </si>
  <si>
    <t>2с</t>
  </si>
  <si>
    <t>3с</t>
  </si>
  <si>
    <t>бюджет тулов-ни кечикт-к учун молявий жазолар</t>
  </si>
  <si>
    <t>ривожлантириш солиги</t>
  </si>
  <si>
    <t>Всего в том числе на складе</t>
  </si>
  <si>
    <t>прибыль</t>
  </si>
  <si>
    <t>Главный бухгалтер</t>
  </si>
  <si>
    <t>для заполнения отчета о затратах по производство продукции</t>
  </si>
  <si>
    <t>ПАХТА ТОЛАСИНИНГ</t>
  </si>
  <si>
    <t>энергии тыс.кВт.</t>
  </si>
  <si>
    <t>сушк и очист х/сырц</t>
  </si>
  <si>
    <t>отдача</t>
  </si>
  <si>
    <t>ствен средст</t>
  </si>
  <si>
    <t>собствен</t>
  </si>
  <si>
    <t>или излишка</t>
  </si>
  <si>
    <t>хлопка</t>
  </si>
  <si>
    <t>готовой</t>
  </si>
  <si>
    <t xml:space="preserve">счёт и </t>
  </si>
  <si>
    <t>торские</t>
  </si>
  <si>
    <t>хлопзаводов</t>
  </si>
  <si>
    <t>волокна</t>
  </si>
  <si>
    <t>сырца</t>
  </si>
  <si>
    <t>по</t>
  </si>
  <si>
    <t>продук</t>
  </si>
  <si>
    <t>сум тов.прод</t>
  </si>
  <si>
    <t>произв</t>
  </si>
  <si>
    <t>совой дея</t>
  </si>
  <si>
    <t>товарн</t>
  </si>
  <si>
    <t>сум товар</t>
  </si>
  <si>
    <t>расходы</t>
  </si>
  <si>
    <t xml:space="preserve">в.т.ч. на </t>
  </si>
  <si>
    <t>релизации</t>
  </si>
  <si>
    <t>прибыл</t>
  </si>
  <si>
    <t>юшаяся в рас-</t>
  </si>
  <si>
    <t>По балан-</t>
  </si>
  <si>
    <t>По чист</t>
  </si>
  <si>
    <t>По полны</t>
  </si>
  <si>
    <t xml:space="preserve">В.т.ч </t>
  </si>
  <si>
    <t>по балансу</t>
  </si>
  <si>
    <t>средства</t>
  </si>
  <si>
    <t>сырца на</t>
  </si>
  <si>
    <t>продукц</t>
  </si>
  <si>
    <t>другие</t>
  </si>
  <si>
    <t>задол-</t>
  </si>
  <si>
    <t>всего</t>
  </si>
  <si>
    <t>норме</t>
  </si>
  <si>
    <t>%</t>
  </si>
  <si>
    <t>ции</t>
  </si>
  <si>
    <t>товар прод</t>
  </si>
  <si>
    <t>тийин.</t>
  </si>
  <si>
    <t>%%</t>
  </si>
  <si>
    <t>телности</t>
  </si>
  <si>
    <t>переработку</t>
  </si>
  <si>
    <t>проряжен пред</t>
  </si>
  <si>
    <t>сов. прыб</t>
  </si>
  <si>
    <t>себест</t>
  </si>
  <si>
    <t>на 1 тон</t>
  </si>
  <si>
    <t>т.сум</t>
  </si>
  <si>
    <t>480+490-130</t>
  </si>
  <si>
    <t>складе</t>
  </si>
  <si>
    <t>на складе</t>
  </si>
  <si>
    <t>женност</t>
  </si>
  <si>
    <t>Глав бухгалтер</t>
  </si>
  <si>
    <t>мос келмаганлиги сабабли</t>
  </si>
  <si>
    <t>Чикиши ва сифати меъёрга</t>
  </si>
  <si>
    <t>чикиши буйича</t>
  </si>
  <si>
    <t>Пахта толаси</t>
  </si>
  <si>
    <t>1-сорт</t>
  </si>
  <si>
    <t>2-сорт</t>
  </si>
  <si>
    <t>3-сорт</t>
  </si>
  <si>
    <t>4-сорт</t>
  </si>
  <si>
    <t>5-сорт</t>
  </si>
  <si>
    <t>Саноат нави ____5____ Вазни ____________</t>
  </si>
  <si>
    <t>Бошка чикимлар</t>
  </si>
  <si>
    <t>Камомад</t>
  </si>
  <si>
    <t>Бош бухгалтер</t>
  </si>
  <si>
    <t>Производственная себестоимость</t>
  </si>
  <si>
    <t>Перейскурантдаги улгуржи нарх-</t>
  </si>
  <si>
    <t>0 10</t>
  </si>
  <si>
    <t>жами (04+09</t>
  </si>
  <si>
    <t>Завод омборидаги колдик</t>
  </si>
  <si>
    <t>Микд</t>
  </si>
  <si>
    <t>Кийм</t>
  </si>
  <si>
    <t>м. сум</t>
  </si>
  <si>
    <t>СВОД</t>
  </si>
  <si>
    <t>Бош хисобчи:</t>
  </si>
  <si>
    <t>____________________</t>
  </si>
  <si>
    <t>Режа булими бошлиги</t>
  </si>
  <si>
    <t>харажатлари (сч 25)</t>
  </si>
  <si>
    <t>Умумий ишлаб чикариш</t>
  </si>
  <si>
    <t>0 7</t>
  </si>
  <si>
    <t>сугуртага ажратмалар</t>
  </si>
  <si>
    <t>Ижтимоий ва табиий</t>
  </si>
  <si>
    <t>КОРХОНА РАХБАРИ:</t>
  </si>
  <si>
    <t xml:space="preserve">          IV сорт</t>
  </si>
  <si>
    <t>0 6</t>
  </si>
  <si>
    <t>1 т харажати (сум ва тийин)</t>
  </si>
  <si>
    <t>090</t>
  </si>
  <si>
    <t>100</t>
  </si>
  <si>
    <t>МАЪЛУМОТ</t>
  </si>
  <si>
    <t>продукции по</t>
  </si>
  <si>
    <t>побочная продук</t>
  </si>
  <si>
    <t>Бошка соликлар</t>
  </si>
  <si>
    <t>0 11</t>
  </si>
  <si>
    <t>фактическая</t>
  </si>
  <si>
    <t>по оптовым ценам</t>
  </si>
  <si>
    <t>Ег-мой комбинатларига жунатилди</t>
  </si>
  <si>
    <t>Форма 25 АПК</t>
  </si>
  <si>
    <t>ШАКЛ  № 73- ХЛ</t>
  </si>
  <si>
    <t>ОРТИКЧА САРФ</t>
  </si>
  <si>
    <t>товарной продукци</t>
  </si>
  <si>
    <t>план</t>
  </si>
  <si>
    <t>и убытки</t>
  </si>
  <si>
    <t>БАЛАНС</t>
  </si>
  <si>
    <t>Бюджет ташк пенсия жамгар.га мажб тулов 4,5%</t>
  </si>
  <si>
    <t>Корхона рахбари:</t>
  </si>
  <si>
    <t>Саклашда белгиланган меъер чегарада табиий камайиш</t>
  </si>
  <si>
    <t>Отпускная стоимость</t>
  </si>
  <si>
    <t>Жунатилган уруглик чигит пули туланди</t>
  </si>
  <si>
    <t>Сув ресурсларидан фойдаланганлик учун солик</t>
  </si>
  <si>
    <t>Махаллий бюджетга йигимлар</t>
  </si>
  <si>
    <t>Иккиламчи махсулот бахоси</t>
  </si>
  <si>
    <t>Линт ижобий фарк</t>
  </si>
  <si>
    <t>Линт ички</t>
  </si>
  <si>
    <t>Т/р</t>
  </si>
  <si>
    <t>Махсулот номи</t>
  </si>
  <si>
    <t>Улчов бирлиги</t>
  </si>
  <si>
    <t>Сотилган махсул микдори</t>
  </si>
  <si>
    <t>Сотилган махсулот (иш ва хиз матларнинг ишлаб чикариш таннархи</t>
  </si>
  <si>
    <t>Сотишдан олинган соф тушум</t>
  </si>
  <si>
    <t>Сотишдан тушган ялпи молиявий натижа минг сум</t>
  </si>
  <si>
    <t>Махсулот (иш хизмат) сотишдан тушган тушум</t>
  </si>
  <si>
    <t>ФАБРИКА ЗАВОД ВА ТУЛИК ТАННАРХИ</t>
  </si>
  <si>
    <t>Жами</t>
  </si>
  <si>
    <t>товар. продукции (тийин)</t>
  </si>
  <si>
    <t>сортам</t>
  </si>
  <si>
    <t>Пахтадан йигир ип</t>
  </si>
  <si>
    <t>Фоизлар шаклидаги даромадлар</t>
  </si>
  <si>
    <t>Товарная продукция</t>
  </si>
  <si>
    <t>жунатилган товар</t>
  </si>
  <si>
    <t>булган даврда пахта момиги харакатининг</t>
  </si>
  <si>
    <t>булган даврда улик аралашган чикиндилар харакатининг</t>
  </si>
  <si>
    <t>чикарилмагани</t>
  </si>
  <si>
    <t>Ишлаб-чикаришдан олинди</t>
  </si>
  <si>
    <t>ЖАМИ колдик</t>
  </si>
  <si>
    <t>Импорт буйича бож тулови</t>
  </si>
  <si>
    <t>иш хаклари</t>
  </si>
  <si>
    <t>ишчиларининг асосий ва кушимча</t>
  </si>
  <si>
    <t>Асосий ишлаб чикариш цехлари</t>
  </si>
  <si>
    <t>микд</t>
  </si>
  <si>
    <t>Митан</t>
  </si>
  <si>
    <t>меъёрла</t>
  </si>
  <si>
    <t>техник чигит харакатининг</t>
  </si>
  <si>
    <t>(пахта заводи, бирлашманинг номи)</t>
  </si>
  <si>
    <t>чик.ган</t>
  </si>
  <si>
    <t xml:space="preserve"> </t>
  </si>
  <si>
    <t>Всего</t>
  </si>
  <si>
    <t>Рахбар</t>
  </si>
  <si>
    <t>ОСНАВНЫЕ ТЕХНИКО-ЭКОНОМИЧЕСИЕ ПОКАЗАТЕЛИ РАБОТЫ ПРЕДПРИЯТИЕ  "МИТАН ПАХТА ЗАВОДИ" АЖ.</t>
  </si>
  <si>
    <t>газ м3</t>
  </si>
  <si>
    <t>Выработ</t>
  </si>
  <si>
    <t>Перераб</t>
  </si>
  <si>
    <t>% выхода волокна</t>
  </si>
  <si>
    <t>Угары производства</t>
  </si>
  <si>
    <t>Стоимост</t>
  </si>
  <si>
    <t>производ</t>
  </si>
  <si>
    <t>Производст</t>
  </si>
  <si>
    <t>Рентаб-</t>
  </si>
  <si>
    <t>Расход</t>
  </si>
  <si>
    <t>Расходы</t>
  </si>
  <si>
    <t>Полная</t>
  </si>
  <si>
    <t>Всего зат-</t>
  </si>
  <si>
    <t>Рентабелн</t>
  </si>
  <si>
    <t>Затрат на производст</t>
  </si>
  <si>
    <t>Чистая вы</t>
  </si>
  <si>
    <t>Баланс-</t>
  </si>
  <si>
    <t>Чистая</t>
  </si>
  <si>
    <t>Тола экспорт I сорт</t>
  </si>
  <si>
    <t>Отклонение от фак-</t>
  </si>
  <si>
    <t>Услуги по выработк</t>
  </si>
  <si>
    <t>Расходов периода</t>
  </si>
  <si>
    <t>Расходы финансово</t>
  </si>
  <si>
    <t>Черезве</t>
  </si>
  <si>
    <t>Полная с/с-ть</t>
  </si>
  <si>
    <t xml:space="preserve">Р А С Ш И Ф Р О В К А </t>
  </si>
  <si>
    <t xml:space="preserve">отклонений фактических затрат от </t>
  </si>
  <si>
    <t>Сумма откланений</t>
  </si>
  <si>
    <t>Эконом</t>
  </si>
  <si>
    <t>Перер</t>
  </si>
  <si>
    <t>тыс сум</t>
  </si>
  <si>
    <t>Сыре Всего</t>
  </si>
  <si>
    <t>в.т.ч. за счет откланения от</t>
  </si>
  <si>
    <t>плановых норм</t>
  </si>
  <si>
    <t>Из них:</t>
  </si>
  <si>
    <t>а) по составу х/сырца в пром</t>
  </si>
  <si>
    <t>сортах волокна (переходы)</t>
  </si>
  <si>
    <t>б) по выходам волокна</t>
  </si>
  <si>
    <t>Пилла сотиш</t>
  </si>
  <si>
    <t xml:space="preserve">          II сорт</t>
  </si>
  <si>
    <t>м.сум</t>
  </si>
  <si>
    <t>ХРСУ</t>
  </si>
  <si>
    <t>Бош  хисобчи</t>
  </si>
  <si>
    <t>Хакикатда туланди</t>
  </si>
  <si>
    <t>Жами бюджет туловлари суммаси (280дан 480 гача,</t>
  </si>
  <si>
    <t>291 сатрдан ташкари</t>
  </si>
  <si>
    <t>Фоизлар шаклидаги харажатлар</t>
  </si>
  <si>
    <t>ри буйича</t>
  </si>
  <si>
    <t>нархда</t>
  </si>
  <si>
    <t>йил</t>
  </si>
  <si>
    <t>АТП</t>
  </si>
  <si>
    <t>МТТБ</t>
  </si>
  <si>
    <t xml:space="preserve">Утган </t>
  </si>
  <si>
    <t>лар</t>
  </si>
  <si>
    <t xml:space="preserve">Итого </t>
  </si>
  <si>
    <t>1. ХОМ - АШЁ</t>
  </si>
  <si>
    <t>СТИР</t>
  </si>
  <si>
    <t>Инвентар</t>
  </si>
  <si>
    <t xml:space="preserve">Жами техник чигит </t>
  </si>
  <si>
    <t>Уруглик чигит</t>
  </si>
  <si>
    <t>Улюк</t>
  </si>
  <si>
    <t>Пух</t>
  </si>
  <si>
    <t>ОММ хизмати</t>
  </si>
  <si>
    <t>_____________________</t>
  </si>
  <si>
    <t>Вспомогательный расчет № 1а</t>
  </si>
  <si>
    <t>Ишлаб чикариш таннархининг</t>
  </si>
  <si>
    <t>0 9</t>
  </si>
  <si>
    <t>хлопко  заводов</t>
  </si>
  <si>
    <t xml:space="preserve"> тыс .сус</t>
  </si>
  <si>
    <t>Уругликдан чикинди</t>
  </si>
  <si>
    <t>040</t>
  </si>
  <si>
    <t>050</t>
  </si>
  <si>
    <t>060</t>
  </si>
  <si>
    <t>070</t>
  </si>
  <si>
    <t>чайная</t>
  </si>
  <si>
    <t>Тола ички    I сорт</t>
  </si>
  <si>
    <t>ТАРИФ</t>
  </si>
  <si>
    <t>Итого побоч прод</t>
  </si>
  <si>
    <t>Камомад чигит</t>
  </si>
  <si>
    <t>Терминалда сакланаётган тола</t>
  </si>
  <si>
    <t>ЖАМИ ХАРАЖАТ</t>
  </si>
  <si>
    <t>ш.ж Музлат. Карз</t>
  </si>
  <si>
    <t>тонн</t>
  </si>
  <si>
    <t>1 тасниф</t>
  </si>
  <si>
    <t>V</t>
  </si>
  <si>
    <t>IV</t>
  </si>
  <si>
    <t>III</t>
  </si>
  <si>
    <t>II</t>
  </si>
  <si>
    <t>I</t>
  </si>
  <si>
    <t>Жами бошкалар</t>
  </si>
  <si>
    <t>КТЦ куйнди</t>
  </si>
  <si>
    <t>Кайта ишлан-ган пахта.</t>
  </si>
  <si>
    <t>Тола</t>
  </si>
  <si>
    <t>Чигит</t>
  </si>
  <si>
    <t>Момик</t>
  </si>
  <si>
    <t>Улюк чикинди</t>
  </si>
  <si>
    <t>Пух  чикинди</t>
  </si>
  <si>
    <t>И/ч  куюндиси</t>
  </si>
  <si>
    <t>Хакикат</t>
  </si>
  <si>
    <t>тн</t>
  </si>
  <si>
    <t>1/1</t>
  </si>
  <si>
    <t>1/2</t>
  </si>
  <si>
    <t>2/1</t>
  </si>
  <si>
    <t>Жамият бош директори:</t>
  </si>
  <si>
    <t>Молия масалалар бўйича директор:</t>
  </si>
  <si>
    <t>Режа ва иктисод булим бошлиги:</t>
  </si>
  <si>
    <t>Ўзбекистон Республикаси Молия вазирининг 2002 йил 27 декабрдаги 140-сонли буйруғига 2-сонли илова, ЎзР АВ томонидан 2003 й. 24 январда рўйхатга олинган N 1209</t>
  </si>
  <si>
    <t>Молиявий натижалар тўгрисида хисобот - 2-сонли шакл</t>
  </si>
  <si>
    <t xml:space="preserve">Коды </t>
  </si>
  <si>
    <t>БхУТ бўйича 1-шакл</t>
  </si>
  <si>
    <t>Корхона, ташкилот</t>
  </si>
  <si>
    <t>"MITAN PAXTA TOZALASH" А.Ж.</t>
  </si>
  <si>
    <t>КТУТ бўйича</t>
  </si>
  <si>
    <t>00331518</t>
  </si>
  <si>
    <t>Тармоқ</t>
  </si>
  <si>
    <t>ХХТУТ бўйича</t>
  </si>
  <si>
    <t>17111</t>
  </si>
  <si>
    <t>Ташкилий-ҳуқуқий шакли</t>
  </si>
  <si>
    <t>ТхШТ бўйича</t>
  </si>
  <si>
    <t>1153</t>
  </si>
  <si>
    <t>Мулкчилик шакли</t>
  </si>
  <si>
    <t>Жамоавий</t>
  </si>
  <si>
    <t>МШТ бўйича</t>
  </si>
  <si>
    <t>144</t>
  </si>
  <si>
    <t>Вазирлик, идора ва бошқалар</t>
  </si>
  <si>
    <t>"O`ZPAXTASANOAT" AJ</t>
  </si>
  <si>
    <t>ДБИБТ бўйича</t>
  </si>
  <si>
    <t>08394</t>
  </si>
  <si>
    <t>Солиқ тўловчининг идентификацион рақами</t>
  </si>
  <si>
    <t>200741734</t>
  </si>
  <si>
    <t>Ҳудуд</t>
  </si>
  <si>
    <t>САМАРҚАНД ВИЛОЯТИ ИШТИХОН тумани</t>
  </si>
  <si>
    <t>МхОБТ</t>
  </si>
  <si>
    <t>1718212555</t>
  </si>
  <si>
    <t>Манзил</t>
  </si>
  <si>
    <t>НАЪМУНА МФЙ А.ТЕМУР КУЧАСИ, 11-УЙ.</t>
  </si>
  <si>
    <t>Жўнатилган сана</t>
  </si>
  <si>
    <r>
      <t xml:space="preserve">Ўлчов бирлиги, </t>
    </r>
    <r>
      <rPr>
        <b/>
        <u/>
        <sz val="13"/>
        <rFont val="Arial"/>
        <family val="2"/>
        <charset val="204"/>
      </rPr>
      <t>минг сўм</t>
    </r>
  </si>
  <si>
    <t>қабул қилинган сана</t>
  </si>
  <si>
    <t>Такдим қилиш муддати</t>
  </si>
  <si>
    <t>Кўрсаткичлар номи</t>
  </si>
  <si>
    <t>Сатр коди</t>
  </si>
  <si>
    <t>Ўтган йилнинг шу даврида</t>
  </si>
  <si>
    <t>Ҳисобот даврида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</si>
  <si>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</si>
  <si>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</si>
  <si>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</si>
  <si>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</si>
  <si>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</si>
  <si>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</si>
  <si>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 xml:space="preserve">Сотиш харажатлари </t>
  </si>
  <si>
    <t xml:space="preserve">Бошқа операцион харажатлар </t>
  </si>
  <si>
    <t>Ҳисобот даврининг солиқ солинадиган фойдадан келгусида чегириладиган харажатлари</t>
  </si>
  <si>
    <t>Асосий фаолиятнинг бошқа даромадлари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</si>
  <si>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</si>
  <si>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</si>
  <si>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 xml:space="preserve">Дивидендлар шаклидаги даромадлар </t>
  </si>
  <si>
    <t>Молиявий ижарадан даромадлар</t>
  </si>
  <si>
    <t>Валюта курси фарқидан даромадлар</t>
  </si>
  <si>
    <t>Молиявий фаолиятнинг бошқа даромадлари</t>
  </si>
  <si>
    <t>Молиявий фаолият бўйича харажатлар (сатр.180+190+200+210), шу жумладан:</t>
  </si>
  <si>
    <t>Молиявий ижара бўйича фоизлар шаклидаги харажатлар</t>
  </si>
  <si>
    <t>Валюта курси фарқидан зарарлар</t>
  </si>
  <si>
    <t>Молиявий фаолият бўйича бошқа харажатлар</t>
  </si>
  <si>
    <t>Умумхўжалик фаолиятининг фойдаси (зарари) (сатр.100+110-170)</t>
  </si>
  <si>
    <t>Фавқулоддаги фойда ва зарарлар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</si>
  <si>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</si>
  <si>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</si>
  <si>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</si>
  <si>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Ҳисобот даврининг соф фойдаси (зарари) (сатр.240-250-260)</t>
  </si>
  <si>
    <t>БЮДЖЕТГА ТЎЛОВЛАР ТЎҒРИСИДА МАЪЛУМОТ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</si>
  <si>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</si>
  <si>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</si>
  <si>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Юридик шахслардан олинадиган фойда солиғи</t>
  </si>
  <si>
    <t>280</t>
  </si>
  <si>
    <t>Жисмоний шахслардан олинадиган даромад солиғи</t>
  </si>
  <si>
    <t>шу жумладан:шахсий жамғариб бориладиган пенсия ҳисобварақларига ажратмалар</t>
  </si>
  <si>
    <t>291</t>
  </si>
  <si>
    <t>Ободонлаштириш ва ижтимоий инфратузилмани ривожлантириш солиғи</t>
  </si>
  <si>
    <t>300</t>
  </si>
  <si>
    <t>Қўшилган қиймат солиғи</t>
  </si>
  <si>
    <t>310</t>
  </si>
  <si>
    <t>Акциз солиғи</t>
  </si>
  <si>
    <t>320</t>
  </si>
  <si>
    <t>Ер ости бойликларидан фойдаланганлик учун солиқ</t>
  </si>
  <si>
    <t>330</t>
  </si>
  <si>
    <t>Сув ресурсларидан фойдаланганлик учун солиқ</t>
  </si>
  <si>
    <t>340</t>
  </si>
  <si>
    <t>Юридик шахсларнинг мол-мулкига солинадиган солиқ</t>
  </si>
  <si>
    <t>350</t>
  </si>
  <si>
    <t>Юридик шахслардан олинадиган ер солиғи</t>
  </si>
  <si>
    <t>360</t>
  </si>
  <si>
    <t>370</t>
  </si>
  <si>
    <t>Ягона ер солиғи</t>
  </si>
  <si>
    <t>380</t>
  </si>
  <si>
    <t>Қатъий белгиланган солиқ</t>
  </si>
  <si>
    <t>390</t>
  </si>
  <si>
    <t>Бошқа солиқлар</t>
  </si>
  <si>
    <t>400</t>
  </si>
  <si>
    <t>Республика йўл жамғармасига мажбурий ажратмалар</t>
  </si>
  <si>
    <t>410</t>
  </si>
  <si>
    <t>420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</si>
  <si>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</si>
  <si>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>430</t>
  </si>
  <si>
    <t xml:space="preserve">Ягона ижтимоий тўлов ва фуқароларнинг бюджетдан ташқари Пенсия жамғармасига
суғурта бадаллари </t>
  </si>
  <si>
    <t>440</t>
  </si>
  <si>
    <t>Импорт бўйича божхона божи</t>
  </si>
  <si>
    <t>450</t>
  </si>
  <si>
    <t>Маҳаллий бюджетга йиғимлар</t>
  </si>
  <si>
    <t>460</t>
  </si>
  <si>
    <t>470</t>
  </si>
  <si>
    <t>Жами бюджетга тўловлар суммаси (280 дан 470 сатргача 291 сатрдан ташқари)</t>
  </si>
  <si>
    <t>480</t>
  </si>
  <si>
    <t>Актив</t>
  </si>
  <si>
    <t>I. Узоқ муддатли активлар</t>
  </si>
  <si>
    <t>Асосий воситалар:</t>
  </si>
  <si>
    <t>Бошланғич (қайта тиклаш) қиймати (0100, 0300)</t>
  </si>
  <si>
    <t>Эскириш суммаси (0200)</t>
  </si>
  <si>
    <t>қолдиқ (баланс) қиймати (сатр. 010 - 011)</t>
  </si>
  <si>
    <t>Номоддий активлар:</t>
  </si>
  <si>
    <t>Бошланғич қиймати (0400)</t>
  </si>
  <si>
    <t>Амортизация суммаси (0500)</t>
  </si>
  <si>
    <t>қолдиқ (баланс) қиймати (сатр. 020 - 021)</t>
  </si>
  <si>
    <t>Узоқ муддатли инвестициялар, жами (сатр.040+050+060+070+080)</t>
  </si>
  <si>
    <t>Қимматли қоғозлар (0610)</t>
  </si>
  <si>
    <t>Шўъба хўжалик жамиятларига инвестициялар (0620)</t>
  </si>
  <si>
    <t>қарам хўжалик жамиятларига инвестициялар (0630)</t>
  </si>
  <si>
    <t>Чет эл капитали мавжуд бўлган корхоналарга инвестициялар (0640)</t>
  </si>
  <si>
    <t>Бошқа узоқ муддатли инвестициялар (0690)</t>
  </si>
  <si>
    <t>Ўрнатиладиган асбоб-ускуналар (0700)</t>
  </si>
  <si>
    <t>Капитал қўйилмалар (0800)</t>
  </si>
  <si>
    <t>Узоқ муддатли дебиторлик қарзлари (0910,0920,0930,0940)</t>
  </si>
  <si>
    <t>Долгосрочные отсроченные расходы (0950, 0960, 0990)</t>
  </si>
  <si>
    <t>I бўлим бўйича жами (сатр.012+022+030+090+100+110+120)</t>
  </si>
  <si>
    <t>II. Жорий активлар</t>
  </si>
  <si>
    <t>Товар-моддий захиралари, жами (сатр.150+160+170+180)</t>
  </si>
  <si>
    <t>Ишлаб чиқариш захиралари (1000, 1100, 1500, 1600)</t>
  </si>
  <si>
    <t>Тугалланмаган ишлаб чиқариш (2000, 2100, 2300, 2700)</t>
  </si>
  <si>
    <t>Тайёр маҳсулот (2800)</t>
  </si>
  <si>
    <t>Товарлар (2900 дан 2980 нинг айирмаси)</t>
  </si>
  <si>
    <t>Келгуси давр харажатлари (3100)</t>
  </si>
  <si>
    <t>Кечиктирилган харажатлар (3200)</t>
  </si>
  <si>
    <t>Дебиторлар, жами (сатр. 220+240+250+260+270+280+290+300+310)</t>
  </si>
  <si>
    <t>шундан: муддати ўтган*</t>
  </si>
  <si>
    <t>211</t>
  </si>
  <si>
    <t>Харидор ва буюртмачиларнинг қарзи (4000 дан 4900 нинг айирмаси)</t>
  </si>
  <si>
    <t>Ажратилган бўлинмаларнинг қарзи (4110)</t>
  </si>
  <si>
    <t>Шўъба ва қарам хўжалик жамиятларнинг қарзи (4120)</t>
  </si>
  <si>
    <t>Ходимларга берилган бўнаклар (4200)</t>
  </si>
  <si>
    <t>Мол етказиб берувчилар ва пудратчиларга берилган бўнаклар (4300)</t>
  </si>
  <si>
    <t>Бюджетга солиқлар ва бошқа мажбурий тўловлар бўйича бўнак тўловлари (4400)</t>
  </si>
  <si>
    <t>Мақсадли давлат жамғармалари ва суғурталар бўйича бўнак тўловлари (4500)</t>
  </si>
  <si>
    <t>Таъсисчиларнинг устав капиталига улушлар бўйича қарзи (4600)</t>
  </si>
  <si>
    <t>Ходимларнинг бошқа операциялар бўйича қарзи (4700)</t>
  </si>
  <si>
    <t>Бошқа дебиторлик қарзлари (4800)</t>
  </si>
  <si>
    <t>Пул маблағлари, жами (сатр.330+340+350+360), шу жумладан:</t>
  </si>
  <si>
    <t>Кассадаги пул маблағлари (5000)</t>
  </si>
  <si>
    <t>Ҳисоб-китоб счётидаги пул маблағлари (5100)</t>
  </si>
  <si>
    <t>Чет эл валютасидаги пул маблағлари (5200)</t>
  </si>
  <si>
    <t>Бошқа пул маблағлари ва эквивалентлари (5500, 5600, 5700)</t>
  </si>
  <si>
    <t>қисқа муддатли инвестициялар (5800)</t>
  </si>
  <si>
    <t>Бошқа жорий активлар (5900)</t>
  </si>
  <si>
    <t>II бўлим бўйича жами (сатр. 140+190+200+210+320+370+380)</t>
  </si>
  <si>
    <t>Баланс активи бўйича жами (сатр.130+390)</t>
  </si>
  <si>
    <t>I. Ўз маблағлари манбалари</t>
  </si>
  <si>
    <t>Қўшилган капитал (8400)</t>
  </si>
  <si>
    <t>Тақсимланмаган фойда (қопланмаган зарар) (8700)</t>
  </si>
  <si>
    <t>Мақсадли тушумлар (8800)</t>
  </si>
  <si>
    <t>Келгуси давр харажатлари ва тўловлари учун захиралар (8900)</t>
  </si>
  <si>
    <t>I бўлим бўйича жами (сатр.410+420+430-440+450+460+470)</t>
  </si>
  <si>
    <t>II. Мажбуриятлар</t>
  </si>
  <si>
    <t>Узоқ муддатли мажбуриятлар, жами (сатр.500+520+530+540+550+560+570+580+590)</t>
  </si>
  <si>
    <t>шу жумладан: узоқ муддатли кредиторлик қарзлари (сатр.500+520+540+560+590)</t>
  </si>
  <si>
    <t>491</t>
  </si>
  <si>
    <t>Мол етказиб берувчилар ва пудратчиларга узоқ муддатли қарз (7000)</t>
  </si>
  <si>
    <t>500</t>
  </si>
  <si>
    <t>Ажратилган бўлинмаларга узоқ муддатли қарз (7110)</t>
  </si>
  <si>
    <t>510</t>
  </si>
  <si>
    <t>Шўъба ва қарам хўжалик жамиятларга узоқ муддатли қарз (7120)</t>
  </si>
  <si>
    <t>520</t>
  </si>
  <si>
    <t>Узоқ муддатли кечиктирилган даромадлар (7210, 7220, 7230)</t>
  </si>
  <si>
    <t>530</t>
  </si>
  <si>
    <t>Солиқ ва бошқа мажбурий тўловлар бўйича узоқ муддатли кечиктирилган мажбуриятлар (7240)</t>
  </si>
  <si>
    <t>540</t>
  </si>
  <si>
    <t>Бошқа узоқ муддатли кечиктирилган мажбуриятлар (7250, 7290)</t>
  </si>
  <si>
    <t>550</t>
  </si>
  <si>
    <t>Харидорлар ва буюртмачилардан олинган бўнаклар (7300)</t>
  </si>
  <si>
    <t>560</t>
  </si>
  <si>
    <t>Узоқ муддатли банк кредитлари (7810)</t>
  </si>
  <si>
    <t>570</t>
  </si>
  <si>
    <t>Узоқ муддатли қарзлар (7820, 7830, 7840)</t>
  </si>
  <si>
    <t>580</t>
  </si>
  <si>
    <t>Бошқа узоқ муддатли кредиторлик қарзлар (7900)</t>
  </si>
  <si>
    <t>590</t>
  </si>
  <si>
    <t>600</t>
  </si>
  <si>
    <t>шу жумладан: жорий кредиторлик қарзлари (сатр.610+630+650+670+680+690+ +700+710+720+760)</t>
  </si>
  <si>
    <t>601</t>
  </si>
  <si>
    <t>шундан: муддати ўтган жорий кредиторлик қарзлари*</t>
  </si>
  <si>
    <t>602</t>
  </si>
  <si>
    <t>Мол етказиб берувчилар ва пудратчиларга қарз (6000)</t>
  </si>
  <si>
    <t>610</t>
  </si>
  <si>
    <t>Ажратилган бўлинмаларга қарз (6110)</t>
  </si>
  <si>
    <t>620</t>
  </si>
  <si>
    <t>Шўъба ва қарам хўжалик жамиятларга қарз (6120)</t>
  </si>
  <si>
    <t>630</t>
  </si>
  <si>
    <t>Кечиктирилган даромадлар (6210, 6220, 6230)</t>
  </si>
  <si>
    <t>640</t>
  </si>
  <si>
    <t>Солиқ ва бошқа мажбурий тўловлар бўйича кечиктирилган мажбуриятлар (6240)</t>
  </si>
  <si>
    <t>650</t>
  </si>
  <si>
    <t>Бошқа кечиктирилган мажбуриятлар (6250, 6290)</t>
  </si>
  <si>
    <t>660</t>
  </si>
  <si>
    <t>Олинган бўнаклар (6300)</t>
  </si>
  <si>
    <t>670</t>
  </si>
  <si>
    <t>Бюджетга тўловлар бўйича қарз (6400)</t>
  </si>
  <si>
    <t>680</t>
  </si>
  <si>
    <t>Суғурталар бўйича қарз (6510)</t>
  </si>
  <si>
    <t>690</t>
  </si>
  <si>
    <t>Мақсадли давлат жамғармаларига тўловлар бўйича қарз (6520)</t>
  </si>
  <si>
    <t>700</t>
  </si>
  <si>
    <t>Таъсисчиларга бўлган қарзлар (6600)</t>
  </si>
  <si>
    <t>710</t>
  </si>
  <si>
    <t>Меҳнатга ҳақ тўлаш бўйича қарз (6700)</t>
  </si>
  <si>
    <t>720</t>
  </si>
  <si>
    <t>Қисқа муддатли банк кредитлари (6810)</t>
  </si>
  <si>
    <t>730</t>
  </si>
  <si>
    <t>Қисқа муддатли қарзлар (6820, 6830, 6840)</t>
  </si>
  <si>
    <t>740</t>
  </si>
  <si>
    <t>Узоқ муддатли мажбуриятларнинг жорий қисми (6950)</t>
  </si>
  <si>
    <t>750</t>
  </si>
  <si>
    <t>Бошқа кредиторлик қарзлар (6950 дан ташқари 6900)</t>
  </si>
  <si>
    <t>760</t>
  </si>
  <si>
    <t>II бўлим бўйича жами (сатр.490+600)</t>
  </si>
  <si>
    <t>770</t>
  </si>
  <si>
    <t>Баланс пассиви бўйича жами (сатр.480+770)</t>
  </si>
  <si>
    <t>780</t>
  </si>
  <si>
    <t>Жорий мажбуриятлар, жами (сатр.610+630+640+650+660+670+680+690+700+710+720+730+740+750+760)</t>
  </si>
  <si>
    <t>Ҳисобот даври бошига</t>
  </si>
  <si>
    <t>Ҳисобот даври охирига</t>
  </si>
  <si>
    <t>Балансдан ташқари счётларда ҳисобга олинадиган қийматликларнинг мавжудлиги тўғрисида маълумот</t>
  </si>
  <si>
    <t>Оператив ижарага олинган асосий воситалар (001)</t>
  </si>
  <si>
    <t>Масъул сақлашга қабул қилинган товар-моддий қийматликлар (002)</t>
  </si>
  <si>
    <t>800</t>
  </si>
  <si>
    <t>Қайта ишлашга қабул қилинган материаллар (003)</t>
  </si>
  <si>
    <t>810</t>
  </si>
  <si>
    <t>Комиссияга қабул қилинган товарлар (004)</t>
  </si>
  <si>
    <t>820</t>
  </si>
  <si>
    <t>Ўрнатиш учун қабул қилинган ускуналар (005)</t>
  </si>
  <si>
    <t>830</t>
  </si>
  <si>
    <t>Қатъий ҳисобот бланкалари (006)</t>
  </si>
  <si>
    <t>840</t>
  </si>
  <si>
    <t>Тўловга қобилиятсиз дебиторларнинг зарарга ҳисобдан чиқарилган қарзи (007)</t>
  </si>
  <si>
    <t>850</t>
  </si>
  <si>
    <t>Олинган мажбурият ва тўловларнинг таъминоти (008)</t>
  </si>
  <si>
    <t>860</t>
  </si>
  <si>
    <t>Берилган мажбурият ва тўловларнинг таъминоти (009)</t>
  </si>
  <si>
    <t>870</t>
  </si>
  <si>
    <t>Молиявий ижара шартномаси бўйича берилган асосий воситалар (010)</t>
  </si>
  <si>
    <t>880</t>
  </si>
  <si>
    <t>Ссуда шартномаси бўйича олинган мулклар (011)</t>
  </si>
  <si>
    <t>890</t>
  </si>
  <si>
    <t>Келгуси даврларда солиқ солинадиган базадан чиқариладиган харажатлар (012)</t>
  </si>
  <si>
    <t>900</t>
  </si>
  <si>
    <t>Вақтинчалик солиқ имтиёзлари (турлари бўйича) (013)</t>
  </si>
  <si>
    <t>910</t>
  </si>
  <si>
    <t>Фойдаланишдаги инвентар ва хўжалик жиҳозлари (014)</t>
  </si>
  <si>
    <t>920</t>
  </si>
  <si>
    <t>Ўлчов бирлиги, минг сўм</t>
  </si>
  <si>
    <t xml:space="preserve">    </t>
  </si>
  <si>
    <t>Тармоқ:    Ишлаб чикариш.</t>
  </si>
  <si>
    <t>Корхона, ташкилот:    "MITAN PAXTA TOZALASH" А.Ж.</t>
  </si>
  <si>
    <t>Мулкчилик шакли:    Жамоавий</t>
  </si>
  <si>
    <t>Вазирлик, идора ва бошқалар:   "O`ZPAXTASANOAT" AJ</t>
  </si>
  <si>
    <t>Ҳудуд:    САМАРҚАНД ВИЛОЯТИ ИШТИХОН тумани</t>
  </si>
  <si>
    <t>Манзил:    НАЪМУНА МФЙ А.ТЕМУР КУЧАСИ, 11-УЙ.</t>
  </si>
  <si>
    <t>Олинган тайёр махсулот</t>
  </si>
  <si>
    <t>Сорт</t>
  </si>
  <si>
    <t>Тайёрлан-ган пахта</t>
  </si>
  <si>
    <t>Сумма без НДС</t>
  </si>
  <si>
    <t>2/2</t>
  </si>
  <si>
    <t>3</t>
  </si>
  <si>
    <t>Биржа савдоси</t>
  </si>
  <si>
    <t>Прескурант</t>
  </si>
  <si>
    <t>Сверка</t>
  </si>
  <si>
    <t>1-урта Б</t>
  </si>
  <si>
    <t>по форме 5-С за 01-сентября 2018 год - 01-октябрь 2018 года . по "Митан пахта тозалаш" АЖ</t>
  </si>
  <si>
    <t>01.01.2019 йилга омбордаги колдик</t>
  </si>
  <si>
    <t>01.01.2019 йилга</t>
  </si>
  <si>
    <t xml:space="preserve">плановых за 1-квартал 2019 год </t>
  </si>
  <si>
    <t>2019 йил 1-чорак учун</t>
  </si>
  <si>
    <t>по форме 5-С за 01-сентября 2018 год - 01-апрель 2019 года . по "Митан пахта тозалаш" АЖ</t>
  </si>
  <si>
    <t>1-олий Б</t>
  </si>
  <si>
    <t>1-ифлос Б</t>
  </si>
  <si>
    <t>Пахта завод номи</t>
  </si>
  <si>
    <t>Тукли, туксиз</t>
  </si>
  <si>
    <t>Селеция нави</t>
  </si>
  <si>
    <t>Авлоди</t>
  </si>
  <si>
    <t>Дориланган, дориланмаган</t>
  </si>
  <si>
    <t>Физик вазн</t>
  </si>
  <si>
    <t>Конд.вазн</t>
  </si>
  <si>
    <t>Сумма</t>
  </si>
  <si>
    <t>Тукли</t>
  </si>
  <si>
    <t>R-2</t>
  </si>
  <si>
    <t>Дориланмаган</t>
  </si>
  <si>
    <t>R-1</t>
  </si>
  <si>
    <t>Порлок-5</t>
  </si>
  <si>
    <t>Х</t>
  </si>
  <si>
    <t>Жами дориланган:</t>
  </si>
  <si>
    <t>Жами дориланмаган:</t>
  </si>
  <si>
    <t>Жами:</t>
  </si>
  <si>
    <t>Бошка заводлардан келтирилган</t>
  </si>
  <si>
    <t>"Жума пахта тозалаш" АЖ</t>
  </si>
  <si>
    <t>Бухоро-102</t>
  </si>
  <si>
    <t>П-4</t>
  </si>
  <si>
    <t>"Зиёвуддин пахта тозалаш" АЖ</t>
  </si>
  <si>
    <t>Порлок-1</t>
  </si>
  <si>
    <t>Элита</t>
  </si>
  <si>
    <t>"Каттакургон пахта тозалаш" АЖ</t>
  </si>
  <si>
    <t>"Зирабулок пахта тозалаш" АЖ</t>
  </si>
  <si>
    <t>Бошка заводларга берилган</t>
  </si>
  <si>
    <t>Бахор</t>
  </si>
  <si>
    <t>"Челак пахта тозалаш" АЖ</t>
  </si>
  <si>
    <t>Уруглик чигит товаршуноси:</t>
  </si>
  <si>
    <t>Бухоро-6</t>
  </si>
  <si>
    <t>Султон</t>
  </si>
  <si>
    <t>Далброн</t>
  </si>
  <si>
    <t>С-8286</t>
  </si>
  <si>
    <t>"Митан пахта тозалаш" АЖ. 2019 йил пахта хосилига экиш учун бошка пахта заводлардан келтирилган ва берилган уруглик чигит тугрисида</t>
  </si>
  <si>
    <t>"Митан пахта тозалаш" АЖ. 2019 йил пахта хосилига экиш учун хужаликларга таркатилган уруглик чигит тугрисида.</t>
  </si>
  <si>
    <t>Хужаликлар номи</t>
  </si>
  <si>
    <t>Счёт факура</t>
  </si>
  <si>
    <t>Санаси</t>
  </si>
  <si>
    <t>"Мароканд сифат текстил" МЧЖ</t>
  </si>
  <si>
    <t>С-8286 дориланмаган</t>
  </si>
  <si>
    <t>Суп.элита</t>
  </si>
  <si>
    <t>"Пири мулки Окдарё" ф.х</t>
  </si>
  <si>
    <t>Султон Дориланмаган</t>
  </si>
  <si>
    <r>
      <t xml:space="preserve">Шу жумладан :чигитга ишлов  бериш цехидан </t>
    </r>
    <r>
      <rPr>
        <b/>
        <sz val="12"/>
        <rFont val="Times New Roman"/>
        <family val="1"/>
        <charset val="204"/>
      </rPr>
      <t>чикарилгани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</si>
  <si>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</si>
  <si>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</si>
  <si>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</si>
  <si>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</si>
  <si>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</si>
  <si>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</si>
  <si>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</si>
  <si>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</si>
  <si>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t>товарной продукции за 2-квартал 2019  года</t>
  </si>
  <si>
    <t>1. Остаток на 01.01.2019 г.</t>
  </si>
  <si>
    <t>2018 й Хасил</t>
  </si>
  <si>
    <t>Хаммаси</t>
  </si>
  <si>
    <t>за 2-квартал 2019 год.</t>
  </si>
  <si>
    <t>Кип сони</t>
  </si>
  <si>
    <t>Махсулотлар</t>
  </si>
  <si>
    <t>Бошка иш ва хизматлар ижара</t>
  </si>
  <si>
    <t>2019 йилда саноат махсулотлари  сотилиши натижасининг хисоботи</t>
  </si>
  <si>
    <t>Октябрь-ноябрь-декабрь</t>
  </si>
  <si>
    <t>по форме 5-С за 2019 год. по "Митан пахта тозалаш" АЖ</t>
  </si>
  <si>
    <t>по форме 5-С за 2019 год. по  "Митан пахта тозалаш" АЖ</t>
  </si>
  <si>
    <t>"Митан пахта тозалаш" АЖ.да 2019 йилда 2018 йил пахта хосилини кайта ишлашдан олинган тайёр махсулотлар тугрисида</t>
  </si>
  <si>
    <t>5. Остаток на 01.01.2020 г.</t>
  </si>
  <si>
    <t xml:space="preserve">"Митан пахта тозалаш" АЖ.да 2019 йилда солик буйича хисобланган ва туланган маблаглар </t>
  </si>
  <si>
    <t>01.01.2020 холатига</t>
  </si>
  <si>
    <t>.</t>
  </si>
  <si>
    <t xml:space="preserve"> 2019 йилда</t>
  </si>
  <si>
    <t>Колдик 01.01.2020 га</t>
  </si>
  <si>
    <t>"Митан пахта тозалаш" АЖ.да 2019 йилда уруглик чигит харакати</t>
  </si>
  <si>
    <t>01.01.2020  йилга омбордаги колдик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</si>
  <si>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</si>
  <si>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Корхона рахбари</t>
  </si>
  <si>
    <t>Бюджетга тўловларнинг кечиктирилганлиги учун молиявий жазолар( ФРНО)</t>
  </si>
  <si>
    <t>бош хисобчи</t>
  </si>
  <si>
    <t>Давлат максадли жамгармларига ажратма</t>
  </si>
  <si>
    <t>Бухгалтерия баланси №1-сонли шакл 2022й  4-чорак</t>
  </si>
  <si>
    <t>2022 йил 4- чорак</t>
  </si>
  <si>
    <t>Бюджетдан ташқари   15 модда  ажратмалар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</si>
</sst>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#,##0.000000"/>
    <numFmt numFmtId="169" formatCode="#,##0.0"/>
    <numFmt numFmtId="170" formatCode="0.000"/>
    <numFmt numFmtId="171" formatCode="_-* #,##0.00[$€-1]_-;\-* #,##0.00[$€-1]_-;_-* &quot;-&quot;??[$€-1]_-"/>
    <numFmt numFmtId="172" formatCode="_-* #,##0\ _F_-;\-* #,##0\ _F_-;_-* &quot;-&quot;\ _F_-;_-@_-"/>
    <numFmt numFmtId="173" formatCode="_-* #,##0.00\ _F_-;\-* #,##0.00\ _F_-;_-* &quot;-&quot;??\ _F_-;_-@_-"/>
    <numFmt numFmtId="174" formatCode="#,##0.00_ ;[Red]\-#,##0.00\ 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9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9"/>
      <name val="Arial Cyr"/>
      <charset val="204"/>
    </font>
    <font>
      <b/>
      <sz val="8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186"/>
    </font>
    <font>
      <sz val="11"/>
      <color indexed="8"/>
      <name val="Calibri"/>
      <family val="2"/>
    </font>
    <font>
      <sz val="8"/>
      <name val="Helvetica-Narrow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u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8"/>
      <color theme="0"/>
      <name val="Arial"/>
      <family val="2"/>
      <charset val="204"/>
    </font>
    <font>
      <b/>
      <sz val="10"/>
      <color theme="0"/>
      <name val="Arial Cyr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0"/>
      <name val="Arial Cyr"/>
      <charset val="204"/>
    </font>
    <font>
      <sz val="8"/>
      <color rgb="FFFF000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8"/>
      <color rgb="FFFF0000"/>
      <name val="Arial Cyr"/>
      <charset val="204"/>
    </font>
    <font>
      <b/>
      <u/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6" fillId="5" borderId="1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7" fillId="10" borderId="2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8" fillId="10" borderId="1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58" fillId="0" borderId="0"/>
    <xf numFmtId="171" fontId="3" fillId="0" borderId="0" applyFont="0" applyFill="0" applyBorder="0" applyAlignment="0" applyProtection="0"/>
    <xf numFmtId="0" fontId="47" fillId="0" borderId="0"/>
    <xf numFmtId="0" fontId="59" fillId="0" borderId="0"/>
    <xf numFmtId="172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0" fontId="61" fillId="0" borderId="0"/>
    <xf numFmtId="167" fontId="2" fillId="0" borderId="0" applyFont="0" applyFill="0" applyBorder="0" applyAlignment="0" applyProtection="0"/>
    <xf numFmtId="0" fontId="1" fillId="0" borderId="0"/>
  </cellStyleXfs>
  <cellXfs count="552">
    <xf numFmtId="0" fontId="0" fillId="0" borderId="0" xfId="0"/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1" xfId="0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5" fillId="0" borderId="0" xfId="0" applyFont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centerContinuous"/>
    </xf>
    <xf numFmtId="0" fontId="0" fillId="0" borderId="0" xfId="0" applyBorder="1"/>
    <xf numFmtId="0" fontId="5" fillId="0" borderId="0" xfId="0" applyFont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1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0" xfId="0" applyFont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5" fillId="0" borderId="17" xfId="0" applyFont="1" applyBorder="1"/>
    <xf numFmtId="0" fontId="0" fillId="0" borderId="18" xfId="0" applyBorder="1" applyAlignment="1"/>
    <xf numFmtId="0" fontId="0" fillId="0" borderId="25" xfId="0" applyBorder="1" applyAlignment="1"/>
    <xf numFmtId="0" fontId="0" fillId="0" borderId="20" xfId="0" applyBorder="1" applyAlignment="1"/>
    <xf numFmtId="0" fontId="0" fillId="0" borderId="26" xfId="0" applyBorder="1" applyAlignment="1"/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applyFont="1" applyFill="1"/>
    <xf numFmtId="0" fontId="0" fillId="0" borderId="0" xfId="0" applyBorder="1" applyAlignment="1">
      <alignment horizontal="centerContinuous"/>
    </xf>
    <xf numFmtId="0" fontId="13" fillId="0" borderId="17" xfId="0" applyFont="1" applyFill="1" applyBorder="1"/>
    <xf numFmtId="0" fontId="5" fillId="0" borderId="17" xfId="0" applyFont="1" applyFill="1" applyBorder="1"/>
    <xf numFmtId="0" fontId="3" fillId="0" borderId="0" xfId="0" applyFont="1"/>
    <xf numFmtId="3" fontId="5" fillId="0" borderId="17" xfId="0" applyNumberFormat="1" applyFont="1" applyBorder="1" applyAlignment="1">
      <alignment horizontal="center"/>
    </xf>
    <xf numFmtId="0" fontId="5" fillId="0" borderId="0" xfId="0" applyFont="1" applyBorder="1"/>
    <xf numFmtId="3" fontId="0" fillId="0" borderId="17" xfId="0" applyNumberFormat="1" applyBorder="1" applyAlignment="1">
      <alignment horizontal="center"/>
    </xf>
    <xf numFmtId="3" fontId="0" fillId="0" borderId="0" xfId="0" applyNumberFormat="1"/>
    <xf numFmtId="3" fontId="0" fillId="0" borderId="22" xfId="0" applyNumberFormat="1" applyBorder="1" applyAlignment="1">
      <alignment horizontal="center"/>
    </xf>
    <xf numFmtId="3" fontId="0" fillId="0" borderId="22" xfId="0" applyNumberFormat="1" applyBorder="1"/>
    <xf numFmtId="3" fontId="0" fillId="0" borderId="10" xfId="0" applyNumberFormat="1" applyBorder="1"/>
    <xf numFmtId="3" fontId="0" fillId="0" borderId="19" xfId="0" applyNumberFormat="1" applyBorder="1"/>
    <xf numFmtId="3" fontId="0" fillId="0" borderId="23" xfId="0" applyNumberFormat="1" applyBorder="1"/>
    <xf numFmtId="3" fontId="0" fillId="0" borderId="21" xfId="0" applyNumberFormat="1" applyBorder="1"/>
    <xf numFmtId="3" fontId="0" fillId="0" borderId="0" xfId="0" applyNumberFormat="1" applyBorder="1"/>
    <xf numFmtId="3" fontId="5" fillId="0" borderId="0" xfId="0" applyNumberFormat="1" applyFont="1" applyFill="1"/>
    <xf numFmtId="3" fontId="0" fillId="0" borderId="18" xfId="0" applyNumberFormat="1" applyBorder="1"/>
    <xf numFmtId="3" fontId="0" fillId="0" borderId="20" xfId="0" applyNumberFormat="1" applyBorder="1"/>
    <xf numFmtId="3" fontId="5" fillId="0" borderId="17" xfId="0" applyNumberFormat="1" applyFont="1" applyBorder="1"/>
    <xf numFmtId="3" fontId="5" fillId="0" borderId="0" xfId="0" applyNumberFormat="1" applyFont="1"/>
    <xf numFmtId="3" fontId="6" fillId="0" borderId="17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centerContinuous"/>
    </xf>
    <xf numFmtId="3" fontId="0" fillId="0" borderId="18" xfId="0" applyNumberFormat="1" applyBorder="1" applyAlignment="1">
      <alignment horizontal="centerContinuous"/>
    </xf>
    <xf numFmtId="3" fontId="0" fillId="0" borderId="25" xfId="0" applyNumberFormat="1" applyBorder="1" applyAlignment="1">
      <alignment horizontal="centerContinuous"/>
    </xf>
    <xf numFmtId="3" fontId="0" fillId="0" borderId="19" xfId="0" applyNumberFormat="1" applyBorder="1" applyAlignment="1">
      <alignment horizontal="centerContinuous"/>
    </xf>
    <xf numFmtId="3" fontId="0" fillId="0" borderId="20" xfId="0" applyNumberFormat="1" applyBorder="1" applyAlignment="1">
      <alignment horizontal="centerContinuous"/>
    </xf>
    <xf numFmtId="3" fontId="0" fillId="0" borderId="26" xfId="0" applyNumberFormat="1" applyBorder="1" applyAlignment="1">
      <alignment horizontal="centerContinuous"/>
    </xf>
    <xf numFmtId="3" fontId="0" fillId="0" borderId="21" xfId="0" applyNumberFormat="1" applyBorder="1" applyAlignment="1">
      <alignment horizontal="centerContinuous"/>
    </xf>
    <xf numFmtId="3" fontId="12" fillId="0" borderId="22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0" fontId="12" fillId="0" borderId="0" xfId="0" applyFont="1"/>
    <xf numFmtId="0" fontId="33" fillId="0" borderId="17" xfId="0" applyFont="1" applyBorder="1"/>
    <xf numFmtId="3" fontId="35" fillId="0" borderId="17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3" fontId="39" fillId="0" borderId="0" xfId="0" applyNumberFormat="1" applyFont="1" applyFill="1"/>
    <xf numFmtId="3" fontId="39" fillId="0" borderId="0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3" fontId="3" fillId="0" borderId="17" xfId="0" applyNumberFormat="1" applyFont="1" applyBorder="1"/>
    <xf numFmtId="2" fontId="3" fillId="0" borderId="17" xfId="0" applyNumberFormat="1" applyFont="1" applyBorder="1"/>
    <xf numFmtId="3" fontId="5" fillId="0" borderId="17" xfId="0" applyNumberFormat="1" applyFont="1" applyFill="1" applyBorder="1" applyAlignment="1">
      <alignment horizontal="center"/>
    </xf>
    <xf numFmtId="3" fontId="35" fillId="0" borderId="23" xfId="0" applyNumberFormat="1" applyFont="1" applyFill="1" applyBorder="1" applyAlignment="1">
      <alignment horizontal="center"/>
    </xf>
    <xf numFmtId="3" fontId="3" fillId="0" borderId="17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Fill="1" applyBorder="1"/>
    <xf numFmtId="3" fontId="5" fillId="0" borderId="17" xfId="0" applyNumberFormat="1" applyFont="1" applyFill="1" applyBorder="1"/>
    <xf numFmtId="2" fontId="3" fillId="0" borderId="0" xfId="0" applyNumberFormat="1" applyFont="1" applyBorder="1"/>
    <xf numFmtId="0" fontId="43" fillId="0" borderId="0" xfId="0" applyFont="1" applyFill="1"/>
    <xf numFmtId="0" fontId="42" fillId="0" borderId="0" xfId="0" applyFont="1" applyFill="1"/>
    <xf numFmtId="0" fontId="7" fillId="0" borderId="0" xfId="0" applyFont="1" applyFill="1"/>
    <xf numFmtId="0" fontId="47" fillId="0" borderId="0" xfId="0" applyFont="1"/>
    <xf numFmtId="3" fontId="47" fillId="0" borderId="0" xfId="0" applyNumberFormat="1" applyFont="1"/>
    <xf numFmtId="3" fontId="47" fillId="0" borderId="0" xfId="0" applyNumberFormat="1" applyFont="1" applyFill="1"/>
    <xf numFmtId="0" fontId="38" fillId="0" borderId="0" xfId="0" applyFont="1"/>
    <xf numFmtId="0" fontId="11" fillId="0" borderId="0" xfId="0" applyFont="1" applyFill="1"/>
    <xf numFmtId="0" fontId="47" fillId="0" borderId="0" xfId="0" applyFont="1" applyFill="1"/>
    <xf numFmtId="0" fontId="38" fillId="0" borderId="17" xfId="0" applyFont="1" applyBorder="1" applyAlignment="1">
      <alignment horizontal="center" vertical="center" wrapText="1"/>
    </xf>
    <xf numFmtId="3" fontId="11" fillId="0" borderId="0" xfId="0" applyNumberFormat="1" applyFont="1" applyFill="1"/>
    <xf numFmtId="1" fontId="47" fillId="0" borderId="0" xfId="0" applyNumberFormat="1" applyFont="1" applyFill="1"/>
    <xf numFmtId="10" fontId="47" fillId="0" borderId="0" xfId="0" applyNumberFormat="1" applyFont="1"/>
    <xf numFmtId="3" fontId="38" fillId="0" borderId="17" xfId="0" applyNumberFormat="1" applyFont="1" applyBorder="1" applyAlignment="1">
      <alignment horizontal="center" vertical="center" wrapText="1"/>
    </xf>
    <xf numFmtId="0" fontId="47" fillId="0" borderId="26" xfId="0" applyFont="1" applyBorder="1" applyAlignment="1">
      <alignment horizontal="left"/>
    </xf>
    <xf numFmtId="0" fontId="38" fillId="0" borderId="0" xfId="0" applyFont="1" applyAlignment="1">
      <alignment wrapText="1"/>
    </xf>
    <xf numFmtId="0" fontId="38" fillId="0" borderId="17" xfId="0" applyFont="1" applyBorder="1"/>
    <xf numFmtId="3" fontId="38" fillId="0" borderId="17" xfId="0" applyNumberFormat="1" applyFont="1" applyBorder="1" applyAlignment="1">
      <alignment horizontal="center"/>
    </xf>
    <xf numFmtId="0" fontId="38" fillId="0" borderId="0" xfId="0" applyFont="1" applyFill="1"/>
    <xf numFmtId="3" fontId="38" fillId="0" borderId="17" xfId="0" applyNumberFormat="1" applyFont="1" applyFill="1" applyBorder="1" applyAlignment="1">
      <alignment horizontal="center"/>
    </xf>
    <xf numFmtId="0" fontId="38" fillId="0" borderId="17" xfId="0" applyFont="1" applyBorder="1" applyAlignment="1">
      <alignment horizontal="center"/>
    </xf>
    <xf numFmtId="3" fontId="38" fillId="0" borderId="0" xfId="0" applyNumberFormat="1" applyFont="1" applyFill="1" applyAlignment="1">
      <alignment horizontal="center"/>
    </xf>
    <xf numFmtId="1" fontId="5" fillId="0" borderId="17" xfId="0" applyNumberFormat="1" applyFont="1" applyFill="1" applyBorder="1"/>
    <xf numFmtId="166" fontId="3" fillId="0" borderId="17" xfId="0" applyNumberFormat="1" applyFont="1" applyBorder="1"/>
    <xf numFmtId="0" fontId="49" fillId="0" borderId="17" xfId="0" applyFont="1" applyFill="1" applyBorder="1"/>
    <xf numFmtId="3" fontId="32" fillId="0" borderId="0" xfId="0" applyNumberFormat="1" applyFont="1" applyFill="1"/>
    <xf numFmtId="0" fontId="32" fillId="0" borderId="0" xfId="0" applyFont="1" applyFill="1"/>
    <xf numFmtId="0" fontId="11" fillId="0" borderId="30" xfId="0" applyFont="1" applyFill="1" applyBorder="1"/>
    <xf numFmtId="0" fontId="11" fillId="0" borderId="29" xfId="0" applyFont="1" applyFill="1" applyBorder="1"/>
    <xf numFmtId="0" fontId="11" fillId="0" borderId="0" xfId="0" applyFont="1" applyFill="1" applyBorder="1"/>
    <xf numFmtId="0" fontId="11" fillId="0" borderId="33" xfId="0" applyFont="1" applyFill="1" applyBorder="1"/>
    <xf numFmtId="0" fontId="12" fillId="0" borderId="0" xfId="0" applyFont="1" applyAlignment="1">
      <alignment horizontal="center"/>
    </xf>
    <xf numFmtId="3" fontId="37" fillId="0" borderId="0" xfId="0" applyNumberFormat="1" applyFont="1"/>
    <xf numFmtId="0" fontId="37" fillId="0" borderId="0" xfId="0" applyFont="1"/>
    <xf numFmtId="0" fontId="0" fillId="0" borderId="0" xfId="0" applyAlignment="1">
      <alignment horizontal="center"/>
    </xf>
    <xf numFmtId="0" fontId="0" fillId="0" borderId="25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9" xfId="0" applyBorder="1"/>
    <xf numFmtId="0" fontId="7" fillId="0" borderId="0" xfId="0" applyFont="1"/>
    <xf numFmtId="3" fontId="50" fillId="0" borderId="0" xfId="0" applyNumberFormat="1" applyFont="1"/>
    <xf numFmtId="165" fontId="50" fillId="0" borderId="0" xfId="0" applyNumberFormat="1" applyFont="1"/>
    <xf numFmtId="3" fontId="51" fillId="0" borderId="0" xfId="0" applyNumberFormat="1" applyFont="1"/>
    <xf numFmtId="0" fontId="50" fillId="0" borderId="0" xfId="0" applyFont="1"/>
    <xf numFmtId="166" fontId="5" fillId="0" borderId="22" xfId="0" applyNumberFormat="1" applyFont="1" applyBorder="1"/>
    <xf numFmtId="165" fontId="3" fillId="0" borderId="0" xfId="0" applyNumberFormat="1" applyFont="1"/>
    <xf numFmtId="166" fontId="3" fillId="0" borderId="0" xfId="0" applyNumberFormat="1" applyFont="1"/>
    <xf numFmtId="0" fontId="3" fillId="0" borderId="10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0" borderId="25" xfId="0" applyNumberFormat="1" applyFont="1" applyBorder="1"/>
    <xf numFmtId="0" fontId="3" fillId="0" borderId="18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3" xfId="0" applyFont="1" applyBorder="1"/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0" borderId="26" xfId="0" applyNumberFormat="1" applyFont="1" applyBorder="1"/>
    <xf numFmtId="0" fontId="3" fillId="0" borderId="20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22" xfId="0" applyFont="1" applyBorder="1"/>
    <xf numFmtId="3" fontId="3" fillId="0" borderId="10" xfId="0" applyNumberFormat="1" applyFont="1" applyBorder="1"/>
    <xf numFmtId="0" fontId="3" fillId="0" borderId="17" xfId="0" applyFont="1" applyBorder="1"/>
    <xf numFmtId="3" fontId="3" fillId="0" borderId="22" xfId="0" applyNumberFormat="1" applyFont="1" applyBorder="1"/>
    <xf numFmtId="0" fontId="3" fillId="0" borderId="17" xfId="0" applyFont="1" applyBorder="1" applyAlignment="1">
      <alignment horizontal="left"/>
    </xf>
    <xf numFmtId="166" fontId="3" fillId="0" borderId="22" xfId="0" applyNumberFormat="1" applyFont="1" applyBorder="1"/>
    <xf numFmtId="0" fontId="3" fillId="0" borderId="20" xfId="0" applyFont="1" applyBorder="1"/>
    <xf numFmtId="4" fontId="7" fillId="0" borderId="0" xfId="0" applyNumberFormat="1" applyFont="1" applyFill="1"/>
    <xf numFmtId="3" fontId="7" fillId="0" borderId="0" xfId="0" applyNumberFormat="1" applyFont="1" applyFill="1"/>
    <xf numFmtId="0" fontId="13" fillId="0" borderId="10" xfId="0" applyFont="1" applyFill="1" applyBorder="1" applyAlignment="1">
      <alignment horizontal="center"/>
    </xf>
    <xf numFmtId="4" fontId="13" fillId="0" borderId="18" xfId="0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4" fontId="13" fillId="0" borderId="29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3" fontId="13" fillId="0" borderId="17" xfId="0" applyNumberFormat="1" applyFont="1" applyFill="1" applyBorder="1" applyAlignment="1">
      <alignment horizontal="center"/>
    </xf>
    <xf numFmtId="166" fontId="13" fillId="0" borderId="17" xfId="0" applyNumberFormat="1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center"/>
    </xf>
    <xf numFmtId="4" fontId="13" fillId="0" borderId="17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4" fontId="6" fillId="0" borderId="22" xfId="186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166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1" fontId="6" fillId="0" borderId="17" xfId="0" applyNumberFormat="1" applyFont="1" applyFill="1" applyBorder="1" applyAlignment="1">
      <alignment horizontal="center"/>
    </xf>
    <xf numFmtId="166" fontId="6" fillId="0" borderId="30" xfId="0" applyNumberFormat="1" applyFont="1" applyFill="1" applyBorder="1" applyAlignment="1">
      <alignment horizontal="center"/>
    </xf>
    <xf numFmtId="0" fontId="13" fillId="0" borderId="32" xfId="0" applyFont="1" applyFill="1" applyBorder="1"/>
    <xf numFmtId="0" fontId="52" fillId="0" borderId="0" xfId="0" applyFont="1" applyFill="1" applyBorder="1"/>
    <xf numFmtId="3" fontId="52" fillId="0" borderId="0" xfId="0" applyNumberFormat="1" applyFont="1" applyFill="1" applyBorder="1" applyAlignment="1">
      <alignment horizontal="center"/>
    </xf>
    <xf numFmtId="166" fontId="52" fillId="0" borderId="0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4" fontId="52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Border="1" applyAlignment="1">
      <alignment horizontal="center"/>
    </xf>
    <xf numFmtId="4" fontId="9" fillId="0" borderId="0" xfId="186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1" fontId="52" fillId="0" borderId="0" xfId="0" applyNumberFormat="1" applyFont="1" applyFill="1" applyBorder="1" applyAlignment="1">
      <alignment horizontal="center"/>
    </xf>
    <xf numFmtId="3" fontId="5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/>
    <xf numFmtId="0" fontId="33" fillId="0" borderId="10" xfId="0" applyFont="1" applyBorder="1"/>
    <xf numFmtId="0" fontId="33" fillId="0" borderId="22" xfId="0" applyFont="1" applyBorder="1"/>
    <xf numFmtId="0" fontId="5" fillId="0" borderId="29" xfId="0" applyFont="1" applyFill="1" applyBorder="1"/>
    <xf numFmtId="1" fontId="6" fillId="19" borderId="17" xfId="0" applyNumberFormat="1" applyFont="1" applyFill="1" applyBorder="1" applyAlignment="1">
      <alignment horizontal="center"/>
    </xf>
    <xf numFmtId="3" fontId="6" fillId="19" borderId="17" xfId="0" applyNumberFormat="1" applyFont="1" applyFill="1" applyBorder="1" applyAlignment="1">
      <alignment horizontal="right"/>
    </xf>
    <xf numFmtId="166" fontId="6" fillId="19" borderId="17" xfId="0" applyNumberFormat="1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/>
    <xf numFmtId="0" fontId="0" fillId="0" borderId="0" xfId="0" applyFont="1"/>
    <xf numFmtId="0" fontId="0" fillId="0" borderId="10" xfId="0" applyFont="1" applyBorder="1"/>
    <xf numFmtId="3" fontId="0" fillId="0" borderId="30" xfId="0" applyNumberFormat="1" applyFont="1" applyBorder="1" applyAlignment="1">
      <alignment horizontal="centerContinuous"/>
    </xf>
    <xf numFmtId="3" fontId="0" fillId="0" borderId="31" xfId="0" applyNumberFormat="1" applyFont="1" applyBorder="1" applyAlignment="1">
      <alignment horizontal="centerContinuous"/>
    </xf>
    <xf numFmtId="3" fontId="0" fillId="0" borderId="32" xfId="0" applyNumberFormat="1" applyFont="1" applyBorder="1" applyAlignment="1">
      <alignment horizontal="centerContinuous"/>
    </xf>
    <xf numFmtId="0" fontId="0" fillId="0" borderId="23" xfId="0" applyFont="1" applyBorder="1"/>
    <xf numFmtId="3" fontId="0" fillId="0" borderId="18" xfId="0" applyNumberFormat="1" applyFont="1" applyBorder="1" applyAlignment="1">
      <alignment horizontal="centerContinuous"/>
    </xf>
    <xf numFmtId="3" fontId="0" fillId="0" borderId="19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0" fontId="0" fillId="0" borderId="22" xfId="0" applyFont="1" applyBorder="1"/>
    <xf numFmtId="3" fontId="0" fillId="0" borderId="3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29" xfId="0" applyFont="1" applyBorder="1"/>
    <xf numFmtId="3" fontId="0" fillId="0" borderId="17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20" xfId="0" applyFont="1" applyBorder="1"/>
    <xf numFmtId="4" fontId="0" fillId="0" borderId="0" xfId="0" applyNumberFormat="1" applyFont="1" applyFill="1"/>
    <xf numFmtId="3" fontId="0" fillId="0" borderId="17" xfId="0" applyNumberFormat="1" applyFont="1" applyFill="1" applyBorder="1"/>
    <xf numFmtId="3" fontId="0" fillId="0" borderId="0" xfId="0" applyNumberFormat="1" applyFont="1" applyFill="1"/>
    <xf numFmtId="168" fontId="0" fillId="0" borderId="0" xfId="0" applyNumberFormat="1" applyFont="1" applyFill="1"/>
    <xf numFmtId="0" fontId="0" fillId="0" borderId="0" xfId="0" applyFont="1" applyFill="1" applyAlignment="1"/>
    <xf numFmtId="3" fontId="0" fillId="0" borderId="10" xfId="0" applyNumberFormat="1" applyFont="1" applyFill="1" applyBorder="1"/>
    <xf numFmtId="3" fontId="0" fillId="0" borderId="0" xfId="0" applyNumberFormat="1" applyFont="1" applyFill="1" applyBorder="1"/>
    <xf numFmtId="3" fontId="0" fillId="0" borderId="10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0" xfId="0" applyFont="1" applyFill="1" applyBorder="1"/>
    <xf numFmtId="0" fontId="0" fillId="0" borderId="33" xfId="0" applyFont="1" applyFill="1" applyBorder="1"/>
    <xf numFmtId="0" fontId="0" fillId="0" borderId="20" xfId="0" applyFont="1" applyFill="1" applyBorder="1"/>
    <xf numFmtId="0" fontId="0" fillId="0" borderId="26" xfId="0" applyFont="1" applyFill="1" applyBorder="1"/>
    <xf numFmtId="0" fontId="0" fillId="0" borderId="21" xfId="0" applyFont="1" applyFill="1" applyBorder="1"/>
    <xf numFmtId="3" fontId="0" fillId="0" borderId="22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2" xfId="0" applyFont="1" applyFill="1" applyBorder="1"/>
    <xf numFmtId="3" fontId="0" fillId="0" borderId="18" xfId="0" applyNumberFormat="1" applyFont="1" applyFill="1" applyBorder="1"/>
    <xf numFmtId="3" fontId="0" fillId="0" borderId="25" xfId="0" applyNumberFormat="1" applyFont="1" applyFill="1" applyBorder="1"/>
    <xf numFmtId="3" fontId="0" fillId="0" borderId="19" xfId="0" applyNumberFormat="1" applyFont="1" applyFill="1" applyBorder="1"/>
    <xf numFmtId="0" fontId="0" fillId="0" borderId="30" xfId="0" applyFont="1" applyFill="1" applyBorder="1"/>
    <xf numFmtId="3" fontId="0" fillId="0" borderId="30" xfId="0" applyNumberFormat="1" applyFont="1" applyFill="1" applyBorder="1"/>
    <xf numFmtId="3" fontId="0" fillId="0" borderId="31" xfId="0" applyNumberFormat="1" applyFont="1" applyFill="1" applyBorder="1"/>
    <xf numFmtId="3" fontId="0" fillId="0" borderId="32" xfId="0" applyNumberFormat="1" applyFont="1" applyFill="1" applyBorder="1"/>
    <xf numFmtId="0" fontId="0" fillId="0" borderId="18" xfId="0" applyFont="1" applyFill="1" applyBorder="1"/>
    <xf numFmtId="0" fontId="0" fillId="0" borderId="25" xfId="0" applyFont="1" applyFill="1" applyBorder="1"/>
    <xf numFmtId="0" fontId="0" fillId="0" borderId="19" xfId="0" applyFont="1" applyFill="1" applyBorder="1"/>
    <xf numFmtId="3" fontId="0" fillId="0" borderId="20" xfId="0" applyNumberFormat="1" applyFont="1" applyFill="1" applyBorder="1"/>
    <xf numFmtId="3" fontId="0" fillId="0" borderId="22" xfId="0" applyNumberFormat="1" applyFont="1" applyFill="1" applyBorder="1"/>
    <xf numFmtId="3" fontId="0" fillId="0" borderId="29" xfId="0" applyNumberFormat="1" applyFont="1" applyFill="1" applyBorder="1"/>
    <xf numFmtId="3" fontId="0" fillId="0" borderId="23" xfId="0" applyNumberFormat="1" applyFont="1" applyFill="1" applyBorder="1"/>
    <xf numFmtId="3" fontId="0" fillId="0" borderId="33" xfId="0" applyNumberFormat="1" applyFont="1" applyFill="1" applyBorder="1"/>
    <xf numFmtId="3" fontId="0" fillId="0" borderId="21" xfId="0" applyNumberFormat="1" applyFont="1" applyFill="1" applyBorder="1"/>
    <xf numFmtId="3" fontId="0" fillId="0" borderId="26" xfId="0" applyNumberFormat="1" applyFont="1" applyFill="1" applyBorder="1"/>
    <xf numFmtId="169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 applyAlignment="1">
      <alignment horizontal="right"/>
    </xf>
    <xf numFmtId="4" fontId="0" fillId="0" borderId="31" xfId="0" applyNumberFormat="1" applyFont="1" applyFill="1" applyBorder="1"/>
    <xf numFmtId="170" fontId="0" fillId="0" borderId="0" xfId="0" applyNumberFormat="1" applyFont="1" applyFill="1"/>
    <xf numFmtId="0" fontId="0" fillId="0" borderId="17" xfId="0" applyFont="1" applyFill="1" applyBorder="1"/>
    <xf numFmtId="3" fontId="0" fillId="0" borderId="17" xfId="0" applyNumberFormat="1" applyFont="1" applyFill="1" applyBorder="1" applyAlignment="1">
      <alignment horizontal="right"/>
    </xf>
    <xf numFmtId="0" fontId="31" fillId="0" borderId="0" xfId="0" applyFont="1" applyBorder="1"/>
    <xf numFmtId="3" fontId="5" fillId="0" borderId="17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165" fontId="0" fillId="0" borderId="0" xfId="0" applyNumberFormat="1" applyFont="1" applyFill="1"/>
    <xf numFmtId="3" fontId="0" fillId="0" borderId="17" xfId="0" applyNumberFormat="1" applyFont="1" applyFill="1" applyBorder="1"/>
    <xf numFmtId="0" fontId="39" fillId="0" borderId="0" xfId="0" applyFont="1" applyFill="1"/>
    <xf numFmtId="0" fontId="41" fillId="0" borderId="0" xfId="0" applyFont="1" applyFill="1"/>
    <xf numFmtId="0" fontId="55" fillId="0" borderId="0" xfId="0" applyFont="1" applyFill="1"/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3" fontId="41" fillId="0" borderId="0" xfId="0" applyNumberFormat="1" applyFont="1" applyFill="1"/>
    <xf numFmtId="0" fontId="41" fillId="0" borderId="17" xfId="0" applyNumberFormat="1" applyFont="1" applyFill="1" applyBorder="1" applyAlignment="1" applyProtection="1">
      <alignment horizontal="left" vertical="center" wrapText="1"/>
    </xf>
    <xf numFmtId="49" fontId="41" fillId="0" borderId="17" xfId="0" applyNumberFormat="1" applyFont="1" applyFill="1" applyBorder="1" applyAlignment="1" applyProtection="1">
      <alignment horizontal="center" vertical="center"/>
    </xf>
    <xf numFmtId="49" fontId="55" fillId="0" borderId="0" xfId="0" applyNumberFormat="1" applyFont="1" applyFill="1"/>
    <xf numFmtId="49" fontId="41" fillId="0" borderId="0" xfId="0" applyNumberFormat="1" applyFont="1" applyFill="1"/>
    <xf numFmtId="0" fontId="47" fillId="0" borderId="0" xfId="200" applyFont="1" applyFill="1" applyAlignment="1">
      <alignment vertical="center"/>
    </xf>
    <xf numFmtId="0" fontId="47" fillId="0" borderId="33" xfId="200" applyFont="1" applyFill="1" applyBorder="1" applyAlignment="1">
      <alignment vertical="center"/>
    </xf>
    <xf numFmtId="49" fontId="47" fillId="0" borderId="17" xfId="200" applyNumberFormat="1" applyFont="1" applyFill="1" applyBorder="1" applyAlignment="1">
      <alignment horizontal="right" vertical="center"/>
    </xf>
    <xf numFmtId="0" fontId="47" fillId="0" borderId="26" xfId="200" applyFont="1" applyFill="1" applyBorder="1" applyAlignment="1">
      <alignment vertical="center"/>
    </xf>
    <xf numFmtId="0" fontId="47" fillId="0" borderId="0" xfId="200" applyFont="1" applyFill="1" applyBorder="1" applyAlignment="1">
      <alignment horizontal="right" vertical="center"/>
    </xf>
    <xf numFmtId="0" fontId="47" fillId="0" borderId="31" xfId="200" applyFont="1" applyFill="1" applyBorder="1" applyAlignment="1">
      <alignment vertical="center"/>
    </xf>
    <xf numFmtId="0" fontId="47" fillId="0" borderId="0" xfId="200" applyFont="1" applyFill="1" applyAlignment="1">
      <alignment horizontal="right" vertical="center"/>
    </xf>
    <xf numFmtId="0" fontId="47" fillId="0" borderId="17" xfId="200" applyFont="1" applyFill="1" applyBorder="1" applyAlignment="1">
      <alignment horizontal="right" vertical="center"/>
    </xf>
    <xf numFmtId="14" fontId="47" fillId="0" borderId="17" xfId="200" applyNumberFormat="1" applyFont="1" applyFill="1" applyBorder="1" applyAlignment="1">
      <alignment horizontal="right" vertical="center"/>
    </xf>
    <xf numFmtId="0" fontId="62" fillId="0" borderId="0" xfId="200" applyFont="1" applyFill="1" applyAlignment="1">
      <alignment vertical="center"/>
    </xf>
    <xf numFmtId="3" fontId="41" fillId="0" borderId="17" xfId="0" applyNumberFormat="1" applyFont="1" applyFill="1" applyBorder="1" applyAlignment="1">
      <alignment horizontal="right" vertical="center"/>
    </xf>
    <xf numFmtId="3" fontId="41" fillId="0" borderId="17" xfId="0" quotePrefix="1" applyNumberFormat="1" applyFont="1" applyFill="1" applyBorder="1" applyAlignment="1">
      <alignment horizontal="right" vertical="center"/>
    </xf>
    <xf numFmtId="3" fontId="41" fillId="0" borderId="17" xfId="0" applyNumberFormat="1" applyFont="1" applyFill="1" applyBorder="1"/>
    <xf numFmtId="3" fontId="41" fillId="0" borderId="17" xfId="0" applyNumberFormat="1" applyFont="1" applyFill="1" applyBorder="1" applyAlignment="1">
      <alignment horizontal="center"/>
    </xf>
    <xf numFmtId="3" fontId="55" fillId="0" borderId="17" xfId="0" applyNumberFormat="1" applyFont="1" applyFill="1" applyBorder="1" applyAlignment="1">
      <alignment horizontal="right" vertical="center"/>
    </xf>
    <xf numFmtId="0" fontId="55" fillId="0" borderId="30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vertical="center" wrapText="1"/>
    </xf>
    <xf numFmtId="0" fontId="41" fillId="0" borderId="30" xfId="0" applyFont="1" applyFill="1" applyBorder="1" applyAlignment="1">
      <alignment horizontal="left" vertical="center" wrapText="1"/>
    </xf>
    <xf numFmtId="174" fontId="41" fillId="0" borderId="17" xfId="0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1" fillId="0" borderId="0" xfId="20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200" applyFont="1" applyFill="1" applyBorder="1" applyAlignment="1">
      <alignment vertical="center"/>
    </xf>
    <xf numFmtId="0" fontId="41" fillId="0" borderId="0" xfId="0" applyFont="1" applyFill="1" applyBorder="1" applyAlignment="1">
      <alignment horizontal="right" vertical="center"/>
    </xf>
    <xf numFmtId="14" fontId="41" fillId="0" borderId="17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5" fillId="0" borderId="0" xfId="0" applyFont="1" applyFill="1" applyAlignment="1">
      <alignment vertical="center"/>
    </xf>
    <xf numFmtId="49" fontId="40" fillId="0" borderId="0" xfId="0" applyNumberFormat="1" applyFont="1" applyFill="1" applyBorder="1" applyAlignment="1">
      <alignment horizontal="left"/>
    </xf>
    <xf numFmtId="169" fontId="39" fillId="0" borderId="0" xfId="0" applyNumberFormat="1" applyFont="1" applyFill="1" applyAlignment="1">
      <alignment horizontal="right" vertical="center"/>
    </xf>
    <xf numFmtId="0" fontId="64" fillId="0" borderId="0" xfId="0" applyFont="1" applyFill="1"/>
    <xf numFmtId="169" fontId="0" fillId="0" borderId="0" xfId="0" applyNumberFormat="1" applyFont="1" applyFill="1"/>
    <xf numFmtId="3" fontId="33" fillId="0" borderId="22" xfId="0" applyNumberFormat="1" applyFont="1" applyFill="1" applyBorder="1" applyAlignment="1">
      <alignment horizontal="center"/>
    </xf>
    <xf numFmtId="166" fontId="0" fillId="0" borderId="0" xfId="0" applyNumberFormat="1" applyFont="1" applyFill="1"/>
    <xf numFmtId="0" fontId="0" fillId="0" borderId="10" xfId="0" applyFont="1" applyFill="1" applyBorder="1"/>
    <xf numFmtId="0" fontId="0" fillId="0" borderId="18" xfId="0" applyFont="1" applyFill="1" applyBorder="1" applyAlignment="1">
      <alignment horizontal="centerContinuous"/>
    </xf>
    <xf numFmtId="0" fontId="0" fillId="0" borderId="25" xfId="0" applyFont="1" applyFill="1" applyBorder="1" applyAlignment="1">
      <alignment horizontal="centerContinuous"/>
    </xf>
    <xf numFmtId="0" fontId="0" fillId="0" borderId="19" xfId="0" applyFont="1" applyFill="1" applyBorder="1" applyAlignment="1">
      <alignment horizontal="centerContinuous"/>
    </xf>
    <xf numFmtId="0" fontId="0" fillId="0" borderId="23" xfId="0" applyFont="1" applyFill="1" applyBorder="1"/>
    <xf numFmtId="0" fontId="0" fillId="0" borderId="20" xfId="0" applyFont="1" applyFill="1" applyBorder="1" applyAlignment="1">
      <alignment horizontal="centerContinuous"/>
    </xf>
    <xf numFmtId="0" fontId="0" fillId="0" borderId="26" xfId="0" applyFont="1" applyFill="1" applyBorder="1" applyAlignment="1">
      <alignment horizontal="centerContinuous"/>
    </xf>
    <xf numFmtId="0" fontId="0" fillId="0" borderId="21" xfId="0" applyFont="1" applyFill="1" applyBorder="1" applyAlignment="1">
      <alignment horizontal="centerContinuous"/>
    </xf>
    <xf numFmtId="0" fontId="0" fillId="0" borderId="22" xfId="0" applyFont="1" applyFill="1" applyBorder="1"/>
    <xf numFmtId="0" fontId="0" fillId="0" borderId="17" xfId="0" applyFont="1" applyFill="1" applyBorder="1" applyAlignment="1">
      <alignment horizontal="left"/>
    </xf>
    <xf numFmtId="166" fontId="0" fillId="0" borderId="22" xfId="0" applyNumberFormat="1" applyFont="1" applyFill="1" applyBorder="1"/>
    <xf numFmtId="0" fontId="5" fillId="0" borderId="17" xfId="0" applyFont="1" applyFill="1" applyBorder="1" applyAlignment="1">
      <alignment horizontal="left"/>
    </xf>
    <xf numFmtId="166" fontId="5" fillId="0" borderId="22" xfId="0" applyNumberFormat="1" applyFont="1" applyFill="1" applyBorder="1"/>
    <xf numFmtId="0" fontId="12" fillId="0" borderId="0" xfId="0" applyFont="1" applyFill="1"/>
    <xf numFmtId="0" fontId="0" fillId="0" borderId="26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7" fillId="0" borderId="0" xfId="0" applyNumberFormat="1" applyFont="1" applyFill="1" applyBorder="1" applyAlignment="1" applyProtection="1"/>
    <xf numFmtId="0" fontId="47" fillId="0" borderId="17" xfId="0" applyNumberFormat="1" applyFont="1" applyFill="1" applyBorder="1" applyAlignment="1" applyProtection="1">
      <alignment horizontal="left" vertical="center" wrapText="1"/>
    </xf>
    <xf numFmtId="49" fontId="47" fillId="0" borderId="17" xfId="0" applyNumberFormat="1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>
      <alignment horizontal="center" wrapText="1"/>
    </xf>
    <xf numFmtId="3" fontId="41" fillId="0" borderId="0" xfId="0" applyNumberFormat="1" applyFont="1" applyFill="1" applyBorder="1" applyAlignment="1">
      <alignment horizontal="right"/>
    </xf>
    <xf numFmtId="3" fontId="41" fillId="0" borderId="0" xfId="0" applyNumberFormat="1" applyFont="1" applyFill="1" applyAlignment="1">
      <alignment horizontal="right"/>
    </xf>
    <xf numFmtId="2" fontId="65" fillId="0" borderId="0" xfId="0" applyNumberFormat="1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6" fontId="65" fillId="0" borderId="0" xfId="0" applyNumberFormat="1" applyFont="1" applyFill="1" applyBorder="1" applyAlignment="1">
      <alignment horizontal="center"/>
    </xf>
    <xf numFmtId="0" fontId="66" fillId="0" borderId="0" xfId="0" applyFont="1" applyFill="1"/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11" xfId="0" applyFont="1" applyBorder="1"/>
    <xf numFmtId="0" fontId="0" fillId="0" borderId="14" xfId="0" applyFont="1" applyBorder="1" applyAlignment="1">
      <alignment horizontal="center"/>
    </xf>
    <xf numFmtId="0" fontId="0" fillId="0" borderId="24" xfId="0" applyFont="1" applyBorder="1" applyAlignment="1">
      <alignment horizontal="centerContinuous"/>
    </xf>
    <xf numFmtId="0" fontId="0" fillId="0" borderId="15" xfId="0" applyFont="1" applyBorder="1" applyAlignment="1">
      <alignment horizontal="centerContinuous"/>
    </xf>
    <xf numFmtId="0" fontId="0" fillId="0" borderId="14" xfId="0" applyFont="1" applyBorder="1"/>
    <xf numFmtId="0" fontId="0" fillId="0" borderId="11" xfId="0" applyFont="1" applyBorder="1" applyAlignment="1">
      <alignment horizontal="center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54" fillId="0" borderId="0" xfId="0" applyFont="1" applyFill="1"/>
    <xf numFmtId="0" fontId="67" fillId="0" borderId="17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9" fillId="0" borderId="30" xfId="0" applyFont="1" applyFill="1" applyBorder="1" applyAlignment="1">
      <alignment vertical="center" wrapText="1"/>
    </xf>
    <xf numFmtId="0" fontId="69" fillId="0" borderId="30" xfId="0" applyFont="1" applyFill="1" applyBorder="1" applyAlignment="1">
      <alignment vertical="center"/>
    </xf>
    <xf numFmtId="0" fontId="69" fillId="0" borderId="31" xfId="0" applyFont="1" applyFill="1" applyBorder="1" applyAlignment="1">
      <alignment vertical="center" wrapText="1"/>
    </xf>
    <xf numFmtId="0" fontId="69" fillId="0" borderId="31" xfId="0" applyFont="1" applyFill="1" applyBorder="1" applyAlignment="1">
      <alignment horizontal="right" vertical="center" wrapText="1"/>
    </xf>
    <xf numFmtId="0" fontId="69" fillId="0" borderId="32" xfId="0" applyFont="1" applyFill="1" applyBorder="1" applyAlignment="1">
      <alignment horizontal="right" vertical="center" wrapText="1"/>
    </xf>
    <xf numFmtId="0" fontId="67" fillId="0" borderId="17" xfId="0" applyFont="1" applyFill="1" applyBorder="1" applyAlignment="1">
      <alignment horizontal="left" vertical="center"/>
    </xf>
    <xf numFmtId="3" fontId="67" fillId="0" borderId="17" xfId="0" applyNumberFormat="1" applyFont="1" applyFill="1" applyBorder="1" applyAlignment="1">
      <alignment horizontal="right" vertical="center" wrapText="1"/>
    </xf>
    <xf numFmtId="0" fontId="69" fillId="0" borderId="17" xfId="0" applyFont="1" applyFill="1" applyBorder="1" applyAlignment="1">
      <alignment horizontal="left" vertical="center"/>
    </xf>
    <xf numFmtId="3" fontId="69" fillId="0" borderId="17" xfId="0" applyNumberFormat="1" applyFont="1" applyFill="1" applyBorder="1" applyAlignment="1">
      <alignment horizontal="right" vertical="center" wrapText="1"/>
    </xf>
    <xf numFmtId="3" fontId="42" fillId="0" borderId="0" xfId="0" applyNumberFormat="1" applyFont="1" applyFill="1"/>
    <xf numFmtId="0" fontId="69" fillId="0" borderId="17" xfId="0" applyFont="1" applyFill="1" applyBorder="1" applyAlignment="1">
      <alignment vertical="center" wrapText="1"/>
    </xf>
    <xf numFmtId="0" fontId="69" fillId="0" borderId="17" xfId="0" applyFont="1" applyFill="1" applyBorder="1" applyAlignment="1">
      <alignment vertical="center"/>
    </xf>
    <xf numFmtId="0" fontId="69" fillId="0" borderId="17" xfId="0" applyFont="1" applyFill="1" applyBorder="1" applyAlignment="1">
      <alignment horizontal="right" vertical="center" wrapText="1"/>
    </xf>
    <xf numFmtId="0" fontId="70" fillId="0" borderId="0" xfId="0" applyFont="1" applyFill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/>
    </xf>
    <xf numFmtId="14" fontId="67" fillId="0" borderId="1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64" fillId="0" borderId="0" xfId="0" applyFont="1"/>
    <xf numFmtId="0" fontId="64" fillId="0" borderId="11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7" xfId="0" applyFont="1" applyBorder="1"/>
    <xf numFmtId="3" fontId="64" fillId="0" borderId="17" xfId="0" applyNumberFormat="1" applyFont="1" applyFill="1" applyBorder="1" applyAlignment="1">
      <alignment horizontal="center"/>
    </xf>
    <xf numFmtId="0" fontId="45" fillId="0" borderId="17" xfId="0" applyFont="1" applyBorder="1" applyAlignment="1">
      <alignment horizontal="right"/>
    </xf>
    <xf numFmtId="0" fontId="64" fillId="0" borderId="17" xfId="0" applyFont="1" applyBorder="1" applyAlignment="1">
      <alignment wrapText="1"/>
    </xf>
    <xf numFmtId="0" fontId="64" fillId="0" borderId="0" xfId="0" applyFont="1" applyAlignment="1">
      <alignment wrapText="1"/>
    </xf>
    <xf numFmtId="0" fontId="45" fillId="0" borderId="17" xfId="0" applyFont="1" applyBorder="1"/>
    <xf numFmtId="3" fontId="45" fillId="0" borderId="17" xfId="0" applyNumberFormat="1" applyFont="1" applyFill="1" applyBorder="1" applyAlignment="1">
      <alignment horizontal="center"/>
    </xf>
    <xf numFmtId="0" fontId="45" fillId="0" borderId="0" xfId="0" applyFont="1"/>
    <xf numFmtId="3" fontId="64" fillId="0" borderId="0" xfId="0" applyNumberFormat="1" applyFont="1"/>
    <xf numFmtId="1" fontId="64" fillId="0" borderId="0" xfId="0" applyNumberFormat="1" applyFont="1"/>
    <xf numFmtId="0" fontId="54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4" fontId="39" fillId="0" borderId="0" xfId="0" applyNumberFormat="1" applyFont="1" applyFill="1" applyAlignment="1">
      <alignment horizontal="right" vertical="center"/>
    </xf>
    <xf numFmtId="1" fontId="13" fillId="0" borderId="17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center"/>
    </xf>
    <xf numFmtId="3" fontId="66" fillId="0" borderId="0" xfId="0" applyNumberFormat="1" applyFont="1" applyFill="1"/>
    <xf numFmtId="3" fontId="71" fillId="0" borderId="0" xfId="0" applyNumberFormat="1" applyFont="1" applyFill="1"/>
    <xf numFmtId="0" fontId="43" fillId="0" borderId="0" xfId="194" applyFont="1" applyFill="1"/>
    <xf numFmtId="0" fontId="43" fillId="0" borderId="0" xfId="194" applyFont="1" applyFill="1" applyBorder="1" applyAlignment="1">
      <alignment horizontal="center"/>
    </xf>
    <xf numFmtId="0" fontId="43" fillId="0" borderId="0" xfId="194" applyFont="1" applyFill="1" applyAlignment="1">
      <alignment vertical="center"/>
    </xf>
    <xf numFmtId="0" fontId="43" fillId="0" borderId="0" xfId="0" applyFont="1" applyFill="1" applyAlignment="1">
      <alignment vertical="center"/>
    </xf>
    <xf numFmtId="3" fontId="43" fillId="0" borderId="17" xfId="194" applyNumberFormat="1" applyFont="1" applyFill="1" applyBorder="1" applyAlignment="1">
      <alignment horizontal="center" vertical="center" wrapText="1"/>
    </xf>
    <xf numFmtId="3" fontId="43" fillId="0" borderId="17" xfId="194" applyNumberFormat="1" applyFont="1" applyFill="1" applyBorder="1" applyAlignment="1">
      <alignment horizontal="right" vertical="center" wrapText="1"/>
    </xf>
    <xf numFmtId="3" fontId="43" fillId="0" borderId="17" xfId="0" applyNumberFormat="1" applyFont="1" applyFill="1" applyBorder="1" applyAlignment="1">
      <alignment horizontal="right" vertical="center"/>
    </xf>
    <xf numFmtId="169" fontId="43" fillId="0" borderId="17" xfId="0" applyNumberFormat="1" applyFont="1" applyFill="1" applyBorder="1" applyAlignment="1">
      <alignment horizontal="right" vertical="center"/>
    </xf>
    <xf numFmtId="169" fontId="43" fillId="0" borderId="17" xfId="194" applyNumberFormat="1" applyFont="1" applyFill="1" applyBorder="1" applyAlignment="1">
      <alignment horizontal="right" vertical="center" wrapText="1"/>
    </xf>
    <xf numFmtId="3" fontId="43" fillId="0" borderId="17" xfId="0" applyNumberFormat="1" applyFont="1" applyFill="1" applyBorder="1" applyAlignment="1">
      <alignment horizontal="right" vertical="center" wrapText="1"/>
    </xf>
    <xf numFmtId="3" fontId="42" fillId="0" borderId="17" xfId="194" applyNumberFormat="1" applyFont="1" applyFill="1" applyBorder="1" applyAlignment="1">
      <alignment horizontal="center" vertical="center" wrapText="1"/>
    </xf>
    <xf numFmtId="3" fontId="42" fillId="0" borderId="17" xfId="194" applyNumberFormat="1" applyFont="1" applyFill="1" applyBorder="1" applyAlignment="1">
      <alignment horizontal="right" vertical="center" wrapText="1"/>
    </xf>
    <xf numFmtId="169" fontId="42" fillId="0" borderId="17" xfId="194" applyNumberFormat="1" applyFont="1" applyFill="1" applyBorder="1" applyAlignment="1">
      <alignment horizontal="right" vertical="center" wrapText="1"/>
    </xf>
    <xf numFmtId="49" fontId="42" fillId="0" borderId="17" xfId="194" applyNumberFormat="1" applyFont="1" applyBorder="1" applyAlignment="1">
      <alignment horizontal="center" vertical="center" wrapText="1"/>
    </xf>
    <xf numFmtId="0" fontId="43" fillId="0" borderId="0" xfId="194" applyFont="1"/>
    <xf numFmtId="49" fontId="43" fillId="0" borderId="17" xfId="194" applyNumberFormat="1" applyFont="1" applyBorder="1" applyAlignment="1">
      <alignment horizontal="center" vertical="center" wrapText="1"/>
    </xf>
    <xf numFmtId="1" fontId="43" fillId="0" borderId="17" xfId="194" applyNumberFormat="1" applyFont="1" applyBorder="1" applyAlignment="1">
      <alignment horizontal="right" vertical="center" wrapText="1"/>
    </xf>
    <xf numFmtId="166" fontId="43" fillId="0" borderId="17" xfId="194" applyNumberFormat="1" applyFont="1" applyBorder="1" applyAlignment="1">
      <alignment horizontal="right" vertical="center" wrapText="1"/>
    </xf>
    <xf numFmtId="1" fontId="43" fillId="0" borderId="17" xfId="194" applyNumberFormat="1" applyFont="1" applyBorder="1" applyAlignment="1">
      <alignment horizontal="right"/>
    </xf>
    <xf numFmtId="0" fontId="42" fillId="0" borderId="0" xfId="194" applyFont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/>
    <xf numFmtId="3" fontId="42" fillId="0" borderId="0" xfId="194" applyNumberFormat="1" applyFont="1" applyFill="1" applyBorder="1" applyAlignment="1">
      <alignment horizontal="right" vertical="center" wrapText="1"/>
    </xf>
    <xf numFmtId="3" fontId="43" fillId="0" borderId="0" xfId="0" applyNumberFormat="1" applyFont="1" applyFill="1" applyAlignment="1"/>
    <xf numFmtId="0" fontId="43" fillId="0" borderId="0" xfId="0" applyFont="1" applyFill="1" applyAlignment="1">
      <alignment horizontal="left"/>
    </xf>
    <xf numFmtId="1" fontId="42" fillId="0" borderId="0" xfId="194" applyNumberFormat="1" applyFont="1" applyFill="1" applyBorder="1" applyAlignment="1"/>
    <xf numFmtId="166" fontId="42" fillId="0" borderId="0" xfId="194" applyNumberFormat="1" applyFont="1" applyFill="1" applyBorder="1" applyAlignment="1">
      <alignment horizontal="left"/>
    </xf>
    <xf numFmtId="1" fontId="42" fillId="0" borderId="0" xfId="194" applyNumberFormat="1" applyFont="1" applyFill="1" applyBorder="1" applyAlignment="1">
      <alignment horizontal="left"/>
    </xf>
    <xf numFmtId="1" fontId="43" fillId="0" borderId="0" xfId="194" applyNumberFormat="1" applyFont="1" applyFill="1" applyBorder="1" applyAlignment="1">
      <alignment horizontal="center" vertical="center"/>
    </xf>
    <xf numFmtId="166" fontId="43" fillId="0" borderId="0" xfId="194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/>
    <xf numFmtId="0" fontId="42" fillId="0" borderId="17" xfId="194" applyFont="1" applyBorder="1" applyAlignment="1">
      <alignment horizontal="right"/>
    </xf>
    <xf numFmtId="166" fontId="42" fillId="0" borderId="17" xfId="194" applyNumberFormat="1" applyFont="1" applyBorder="1" applyAlignment="1">
      <alignment horizontal="right" vertical="center" wrapText="1"/>
    </xf>
    <xf numFmtId="166" fontId="43" fillId="0" borderId="17" xfId="194" applyNumberFormat="1" applyFont="1" applyBorder="1" applyAlignment="1">
      <alignment horizontal="right"/>
    </xf>
    <xf numFmtId="1" fontId="42" fillId="0" borderId="17" xfId="194" applyNumberFormat="1" applyFont="1" applyBorder="1" applyAlignment="1">
      <alignment horizontal="right" vertical="center" wrapText="1"/>
    </xf>
    <xf numFmtId="166" fontId="42" fillId="0" borderId="17" xfId="194" applyNumberFormat="1" applyFont="1" applyBorder="1" applyAlignment="1">
      <alignment horizontal="right"/>
    </xf>
    <xf numFmtId="0" fontId="42" fillId="0" borderId="17" xfId="194" applyFont="1" applyBorder="1" applyAlignment="1">
      <alignment horizontal="left"/>
    </xf>
    <xf numFmtId="49" fontId="42" fillId="0" borderId="17" xfId="194" applyNumberFormat="1" applyFont="1" applyBorder="1" applyAlignment="1">
      <alignment horizontal="left" vertical="center"/>
    </xf>
    <xf numFmtId="49" fontId="0" fillId="0" borderId="17" xfId="0" applyNumberFormat="1" applyFont="1" applyFill="1" applyBorder="1"/>
    <xf numFmtId="1" fontId="43" fillId="0" borderId="0" xfId="194" applyNumberFormat="1" applyFont="1"/>
    <xf numFmtId="0" fontId="0" fillId="0" borderId="17" xfId="0" applyFont="1" applyFill="1" applyBorder="1" applyAlignment="1">
      <alignment horizontal="center" vertical="center" wrapText="1"/>
    </xf>
    <xf numFmtId="0" fontId="43" fillId="0" borderId="17" xfId="194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3" fontId="71" fillId="0" borderId="0" xfId="0" applyNumberFormat="1" applyFont="1"/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55" fillId="0" borderId="17" xfId="0" applyFont="1" applyFill="1" applyBorder="1" applyAlignment="1">
      <alignment vertical="center" wrapText="1"/>
    </xf>
    <xf numFmtId="3" fontId="73" fillId="0" borderId="17" xfId="0" applyNumberFormat="1" applyFont="1" applyFill="1" applyBorder="1" applyAlignment="1">
      <alignment horizontal="right" vertical="center"/>
    </xf>
    <xf numFmtId="0" fontId="55" fillId="0" borderId="30" xfId="0" applyFont="1" applyFill="1" applyBorder="1" applyAlignment="1">
      <alignment vertical="center" wrapText="1"/>
    </xf>
    <xf numFmtId="0" fontId="73" fillId="0" borderId="0" xfId="0" applyFont="1" applyFill="1"/>
    <xf numFmtId="0" fontId="75" fillId="0" borderId="0" xfId="200" applyFont="1" applyFill="1" applyBorder="1" applyAlignment="1">
      <alignment horizontal="center" vertical="center"/>
    </xf>
    <xf numFmtId="0" fontId="75" fillId="0" borderId="0" xfId="200" applyFont="1" applyFill="1" applyAlignment="1">
      <alignment vertical="center"/>
    </xf>
    <xf numFmtId="0" fontId="77" fillId="0" borderId="0" xfId="0" applyNumberFormat="1" applyFont="1" applyFill="1" applyAlignment="1">
      <alignment vertical="center"/>
    </xf>
    <xf numFmtId="0" fontId="74" fillId="0" borderId="0" xfId="200" applyFont="1" applyFill="1" applyBorder="1" applyAlignment="1">
      <alignment horizontal="left" vertical="center"/>
    </xf>
    <xf numFmtId="0" fontId="75" fillId="0" borderId="33" xfId="200" applyFont="1" applyFill="1" applyBorder="1" applyAlignment="1">
      <alignment vertical="center"/>
    </xf>
    <xf numFmtId="0" fontId="78" fillId="0" borderId="10" xfId="200" applyFont="1" applyFill="1" applyBorder="1" applyAlignment="1">
      <alignment horizontal="center" vertical="center"/>
    </xf>
    <xf numFmtId="0" fontId="79" fillId="0" borderId="0" xfId="0" applyFont="1" applyFill="1" applyAlignment="1">
      <alignment vertical="center"/>
    </xf>
    <xf numFmtId="0" fontId="55" fillId="0" borderId="26" xfId="0" applyFont="1" applyFill="1" applyBorder="1" applyAlignment="1">
      <alignment horizontal="center" vertical="center" wrapText="1"/>
    </xf>
    <xf numFmtId="0" fontId="55" fillId="0" borderId="17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47" fillId="0" borderId="26" xfId="0" applyNumberFormat="1" applyFont="1" applyFill="1" applyBorder="1" applyAlignment="1" applyProtection="1">
      <alignment horizontal="center" vertical="center"/>
    </xf>
    <xf numFmtId="0" fontId="41" fillId="0" borderId="0" xfId="200" applyFont="1" applyFill="1" applyAlignment="1">
      <alignment horizontal="right" vertical="center" wrapText="1"/>
    </xf>
    <xf numFmtId="0" fontId="76" fillId="0" borderId="0" xfId="200" applyFont="1" applyFill="1" applyAlignment="1">
      <alignment horizontal="center" vertical="center"/>
    </xf>
    <xf numFmtId="0" fontId="55" fillId="0" borderId="17" xfId="0" applyNumberFormat="1" applyFont="1" applyFill="1" applyBorder="1" applyAlignment="1" applyProtection="1">
      <alignment horizontal="center" vertical="center"/>
    </xf>
    <xf numFmtId="0" fontId="55" fillId="0" borderId="1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43" fillId="0" borderId="17" xfId="194" applyFont="1" applyFill="1" applyBorder="1" applyAlignment="1">
      <alignment horizontal="center" vertical="center" wrapText="1"/>
    </xf>
    <xf numFmtId="0" fontId="42" fillId="0" borderId="0" xfId="194" applyFont="1" applyFill="1" applyAlignment="1">
      <alignment horizontal="center"/>
    </xf>
    <xf numFmtId="3" fontId="0" fillId="0" borderId="30" xfId="0" applyNumberFormat="1" applyFont="1" applyFill="1" applyBorder="1" applyAlignment="1">
      <alignment horizontal="center"/>
    </xf>
    <xf numFmtId="3" fontId="0" fillId="0" borderId="31" xfId="0" applyNumberFormat="1" applyFont="1" applyFill="1" applyBorder="1" applyAlignment="1">
      <alignment horizontal="center"/>
    </xf>
    <xf numFmtId="3" fontId="0" fillId="0" borderId="32" xfId="0" applyNumberFormat="1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64" fillId="0" borderId="11" xfId="0" applyFont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 wrapText="1"/>
    </xf>
    <xf numFmtId="0" fontId="68" fillId="0" borderId="0" xfId="0" applyFont="1" applyFill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46" fillId="0" borderId="0" xfId="0" applyFont="1" applyAlignment="1">
      <alignment horizont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3" fontId="72" fillId="0" borderId="17" xfId="0" applyNumberFormat="1" applyFont="1" applyFill="1" applyBorder="1" applyAlignment="1">
      <alignment horizontal="center"/>
    </xf>
    <xf numFmtId="3" fontId="80" fillId="0" borderId="17" xfId="0" applyNumberFormat="1" applyFont="1" applyFill="1" applyBorder="1" applyAlignment="1">
      <alignment horizontal="center"/>
    </xf>
    <xf numFmtId="3" fontId="74" fillId="0" borderId="17" xfId="0" applyNumberFormat="1" applyFont="1" applyFill="1" applyBorder="1" applyAlignment="1">
      <alignment horizontal="right" vertical="center"/>
    </xf>
    <xf numFmtId="3" fontId="81" fillId="0" borderId="17" xfId="0" applyNumberFormat="1" applyFont="1" applyFill="1" applyBorder="1" applyAlignment="1">
      <alignment horizontal="right" vertical="center"/>
    </xf>
    <xf numFmtId="3" fontId="82" fillId="0" borderId="17" xfId="0" applyNumberFormat="1" applyFont="1" applyFill="1" applyBorder="1" applyAlignment="1">
      <alignment horizontal="right" vertical="center"/>
    </xf>
  </cellXfs>
  <cellStyles count="20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uro" xfId="195"/>
    <cellStyle name="Акцент1" xfId="19" builtinId="29" customBuiltin="1"/>
    <cellStyle name="Акцент1 2" xfId="20"/>
    <cellStyle name="Акцент1 3" xfId="21"/>
    <cellStyle name="Акцент1 4" xfId="22"/>
    <cellStyle name="Акцент1 5" xfId="23"/>
    <cellStyle name="Акцент2" xfId="24" builtinId="33" customBuiltin="1"/>
    <cellStyle name="Акцент2 2" xfId="25"/>
    <cellStyle name="Акцент2 3" xfId="26"/>
    <cellStyle name="Акцент2 4" xfId="27"/>
    <cellStyle name="Акцент2 5" xfId="28"/>
    <cellStyle name="Акцент3" xfId="29" builtinId="37" customBuiltin="1"/>
    <cellStyle name="Акцент3 2" xfId="30"/>
    <cellStyle name="Акцент3 3" xfId="31"/>
    <cellStyle name="Акцент3 4" xfId="32"/>
    <cellStyle name="Акцент3 5" xfId="33"/>
    <cellStyle name="Акцент4" xfId="34" builtinId="41" customBuiltin="1"/>
    <cellStyle name="Акцент4 2" xfId="35"/>
    <cellStyle name="Акцент4 3" xfId="36"/>
    <cellStyle name="Акцент4 4" xfId="37"/>
    <cellStyle name="Акцент4 5" xfId="38"/>
    <cellStyle name="Акцент5" xfId="39" builtinId="45" customBuiltin="1"/>
    <cellStyle name="Акцент5 2" xfId="40"/>
    <cellStyle name="Акцент5 3" xfId="41"/>
    <cellStyle name="Акцент5 4" xfId="42"/>
    <cellStyle name="Акцент5 5" xfId="43"/>
    <cellStyle name="Акцент6" xfId="44" builtinId="49" customBuiltin="1"/>
    <cellStyle name="Акцент6 2" xfId="45"/>
    <cellStyle name="Акцент6 3" xfId="46"/>
    <cellStyle name="Акцент6 4" xfId="47"/>
    <cellStyle name="Акцент6 5" xfId="48"/>
    <cellStyle name="Ввод " xfId="49" builtinId="20" customBuiltin="1"/>
    <cellStyle name="Ввод  2" xfId="50"/>
    <cellStyle name="Ввод  3" xfId="51"/>
    <cellStyle name="Ввод  4" xfId="52"/>
    <cellStyle name="Ввод  5" xfId="53"/>
    <cellStyle name="Вывод" xfId="54" builtinId="21" customBuiltin="1"/>
    <cellStyle name="Вывод 2" xfId="55"/>
    <cellStyle name="Вывод 3" xfId="56"/>
    <cellStyle name="Вывод 4" xfId="57"/>
    <cellStyle name="Вывод 5" xfId="58"/>
    <cellStyle name="Вычисление" xfId="59" builtinId="22" customBuiltin="1"/>
    <cellStyle name="Вычисление 2" xfId="60"/>
    <cellStyle name="Вычисление 3" xfId="61"/>
    <cellStyle name="Вычисление 4" xfId="62"/>
    <cellStyle name="Вычисление 5" xfId="63"/>
    <cellStyle name="Заголовок 1" xfId="64" builtinId="16" customBuiltin="1"/>
    <cellStyle name="Заголовок 1 2" xfId="65"/>
    <cellStyle name="Заголовок 1 3" xfId="66"/>
    <cellStyle name="Заголовок 1 4" xfId="67"/>
    <cellStyle name="Заголовок 1 5" xfId="68"/>
    <cellStyle name="Заголовок 2" xfId="69" builtinId="17" customBuiltin="1"/>
    <cellStyle name="Заголовок 2 2" xfId="70"/>
    <cellStyle name="Заголовок 2 3" xfId="71"/>
    <cellStyle name="Заголовок 2 4" xfId="72"/>
    <cellStyle name="Заголовок 2 5" xfId="73"/>
    <cellStyle name="Заголовок 3" xfId="74" builtinId="18" customBuiltin="1"/>
    <cellStyle name="Заголовок 3 2" xfId="75"/>
    <cellStyle name="Заголовок 3 3" xfId="76"/>
    <cellStyle name="Заголовок 3 4" xfId="77"/>
    <cellStyle name="Заголовок 3 5" xfId="78"/>
    <cellStyle name="Заголовок 4" xfId="79" builtinId="19" customBuiltin="1"/>
    <cellStyle name="Заголовок 4 2" xfId="80"/>
    <cellStyle name="Заголовок 4 3" xfId="81"/>
    <cellStyle name="Заголовок 4 4" xfId="82"/>
    <cellStyle name="Заголовок 4 5" xfId="83"/>
    <cellStyle name="Итог" xfId="84" builtinId="25" customBuiltin="1"/>
    <cellStyle name="Итог 2" xfId="85"/>
    <cellStyle name="Итог 3" xfId="86"/>
    <cellStyle name="Итог 4" xfId="87"/>
    <cellStyle name="Итог 5" xfId="88"/>
    <cellStyle name="Контрольная ячейка" xfId="89" builtinId="23" customBuiltin="1"/>
    <cellStyle name="Контрольная ячейка 2" xfId="90"/>
    <cellStyle name="Контрольная ячейка 3" xfId="91"/>
    <cellStyle name="Контрольная ячейка 4" xfId="92"/>
    <cellStyle name="Контрольная ячейка 5" xfId="93"/>
    <cellStyle name="Название" xfId="94" builtinId="15" customBuiltin="1"/>
    <cellStyle name="Название 2" xfId="95"/>
    <cellStyle name="Название 3" xfId="96"/>
    <cellStyle name="Название 4" xfId="97"/>
    <cellStyle name="Название 5" xfId="98"/>
    <cellStyle name="Нейтральный" xfId="99" builtinId="28" customBuiltin="1"/>
    <cellStyle name="Нейтральный 2" xfId="100"/>
    <cellStyle name="Нейтральный 3" xfId="101"/>
    <cellStyle name="Нейтральный 4" xfId="102"/>
    <cellStyle name="Нейтральный 5" xfId="103"/>
    <cellStyle name="Обычный" xfId="0" builtinId="0"/>
    <cellStyle name="Обычный 10" xfId="104"/>
    <cellStyle name="Обычный 11" xfId="105"/>
    <cellStyle name="Обычный 12" xfId="106"/>
    <cellStyle name="Обычный 13" xfId="107"/>
    <cellStyle name="Обычный 14" xfId="108"/>
    <cellStyle name="Обычный 163 2 3 4" xfId="202"/>
    <cellStyle name="Обычный 2" xfId="109"/>
    <cellStyle name="Обычный 2 10" xfId="110"/>
    <cellStyle name="Обычный 2 11" xfId="111"/>
    <cellStyle name="Обычный 2 12" xfId="112"/>
    <cellStyle name="Обычный 2 13" xfId="113"/>
    <cellStyle name="Обычный 2 14" xfId="114"/>
    <cellStyle name="Обычный 2 2" xfId="115"/>
    <cellStyle name="Обычный 2 2 10" xfId="116"/>
    <cellStyle name="Обычный 2 2 11" xfId="117"/>
    <cellStyle name="Обычный 2 2 2" xfId="118"/>
    <cellStyle name="Обычный 2 2 3" xfId="119"/>
    <cellStyle name="Обычный 2 2 4" xfId="120"/>
    <cellStyle name="Обычный 2 2 5" xfId="121"/>
    <cellStyle name="Обычный 2 2 6" xfId="122"/>
    <cellStyle name="Обычный 2 2 7" xfId="123"/>
    <cellStyle name="Обычный 2 2 8" xfId="124"/>
    <cellStyle name="Обычный 2 2 9" xfId="125"/>
    <cellStyle name="Обычный 2 3" xfId="126"/>
    <cellStyle name="Обычный 2 4" xfId="127"/>
    <cellStyle name="Обычный 2 5" xfId="128"/>
    <cellStyle name="Обычный 2 6" xfId="129"/>
    <cellStyle name="Обычный 2 7" xfId="130"/>
    <cellStyle name="Обычный 2 8" xfId="131"/>
    <cellStyle name="Обычный 2 9" xfId="132"/>
    <cellStyle name="Обычный 2_0 1-2 Свод мавсум 2013 й хосил Хазарасп" xfId="196"/>
    <cellStyle name="Обычный 3" xfId="133"/>
    <cellStyle name="Обычный 3 10" xfId="134"/>
    <cellStyle name="Обычный 3 11" xfId="135"/>
    <cellStyle name="Обычный 3 2" xfId="136"/>
    <cellStyle name="Обычный 3 3" xfId="137"/>
    <cellStyle name="Обычный 3 4" xfId="138"/>
    <cellStyle name="Обычный 3 5" xfId="139"/>
    <cellStyle name="Обычный 3 6" xfId="140"/>
    <cellStyle name="Обычный 3 7" xfId="141"/>
    <cellStyle name="Обычный 3 8" xfId="142"/>
    <cellStyle name="Обычный 3 9" xfId="143"/>
    <cellStyle name="Обычный 3_0 1-2 Свод мавсум 2013 й хосил Хазарасп" xfId="197"/>
    <cellStyle name="Обычный 4" xfId="144"/>
    <cellStyle name="Обычный 4 10" xfId="145"/>
    <cellStyle name="Обычный 4 11" xfId="146"/>
    <cellStyle name="Обычный 4 2" xfId="147"/>
    <cellStyle name="Обычный 4 3" xfId="148"/>
    <cellStyle name="Обычный 4 4" xfId="149"/>
    <cellStyle name="Обычный 4 5" xfId="150"/>
    <cellStyle name="Обычный 4 6" xfId="151"/>
    <cellStyle name="Обычный 4 7" xfId="152"/>
    <cellStyle name="Обычный 4 8" xfId="153"/>
    <cellStyle name="Обычный 4 9" xfId="154"/>
    <cellStyle name="Обычный 5" xfId="155"/>
    <cellStyle name="Обычный 6" xfId="156"/>
    <cellStyle name="Обычный 7" xfId="157"/>
    <cellStyle name="Обычный 8" xfId="158"/>
    <cellStyle name="Обычный 9" xfId="159"/>
    <cellStyle name="Обычный_Лист1" xfId="200"/>
    <cellStyle name="Обычный_ресстер" xfId="194"/>
    <cellStyle name="Плохой" xfId="160" builtinId="27" customBuiltin="1"/>
    <cellStyle name="Плохой 2" xfId="161"/>
    <cellStyle name="Плохой 3" xfId="162"/>
    <cellStyle name="Плохой 4" xfId="163"/>
    <cellStyle name="Плохой 5" xfId="164"/>
    <cellStyle name="Пояснение" xfId="165" builtinId="53" customBuiltin="1"/>
    <cellStyle name="Пояснение 2" xfId="166"/>
    <cellStyle name="Пояснение 3" xfId="167"/>
    <cellStyle name="Пояснение 4" xfId="168"/>
    <cellStyle name="Пояснение 5" xfId="169"/>
    <cellStyle name="Примечание" xfId="170" builtinId="10" customBuiltin="1"/>
    <cellStyle name="Примечание 2" xfId="171"/>
    <cellStyle name="Примечание 3" xfId="172"/>
    <cellStyle name="Примечание 4" xfId="173"/>
    <cellStyle name="Примечание 5" xfId="174"/>
    <cellStyle name="Связанная ячейка" xfId="175" builtinId="24" customBuiltin="1"/>
    <cellStyle name="Связанная ячейка 2" xfId="176"/>
    <cellStyle name="Связанная ячейка 3" xfId="177"/>
    <cellStyle name="Связанная ячейка 4" xfId="178"/>
    <cellStyle name="Связанная ячейка 5" xfId="179"/>
    <cellStyle name="Стиль 1" xfId="180"/>
    <cellStyle name="Текст предупреждения" xfId="181" builtinId="11" customBuiltin="1"/>
    <cellStyle name="Текст предупреждения 2" xfId="182"/>
    <cellStyle name="Текст предупреждения 3" xfId="183"/>
    <cellStyle name="Текст предупреждения 4" xfId="184"/>
    <cellStyle name="Текст предупреждения 5" xfId="185"/>
    <cellStyle name="Тысячи [0]_Example " xfId="198"/>
    <cellStyle name="Тысячи_Example " xfId="199"/>
    <cellStyle name="Финансовый" xfId="186" builtinId="3"/>
    <cellStyle name="Финансовый 2" xfId="187"/>
    <cellStyle name="Финансовый 3" xfId="188"/>
    <cellStyle name="Финансовый 4" xfId="201"/>
    <cellStyle name="Хороший" xfId="189" builtinId="26" customBuiltin="1"/>
    <cellStyle name="Хороший 2" xfId="190"/>
    <cellStyle name="Хороший 3" xfId="191"/>
    <cellStyle name="Хороший 4" xfId="192"/>
    <cellStyle name="Хороший 5" xfId="1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rplata\&#1044;&#1086;&#1089;&#1090;&#1091;&#1087;\&#1052;&#1086;&#1080;%20&#1076;&#1086;&#1082;&#1091;&#1084;&#1077;&#1085;&#1090;&#1099;\Tohir%20aka\&#1060;&#1080;&#1085;%20&#1052;&#1080;&#1090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f\&#1052;&#1086;&#1080;%20&#1076;&#1086;&#1082;&#1091;&#1084;&#1077;&#1085;&#1090;&#1099;\Tohir%20aka\&#1060;&#1080;&#1085;%20&#1052;&#1080;&#1090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0;&#1085;&#1072;&#1085;&#1089;&#1086;&#1074;&#1099;&#1077;%20&#1096;&#1072;&#1073;&#1083;&#1086;&#1085;&#1099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9%20&#1081;&#1080;&#1083;%203-&#1095;&#1086;&#1088;&#1072;&#1082;\2019%20&#1081;&#1080;&#1083;%203-&#1095;&#1086;&#1088;&#1072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&#1081;&#1080;&#1083;&#1083;&#1080;&#1082;%20&#1093;&#1080;&#1089;&#1086;&#1073;&#1086;&#1090;\2017%20&#1081;&#1080;&#1083;%20&#1075;&#1072;&#1076;&#1072;&#1074;&#1086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2-&#1095;&#1086;&#1088;&#1072;&#1082;\2017%20&#1081;&#1080;&#1083;%202-&#1095;&#1086;&#1088;&#1072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3-&#1095;&#1086;&#1088;&#1072;&#1082;\&#1041;&#1091;&#1093;.%20&#1093;&#1080;&#1089;&#1086;&#1073;&#1086;&#1090;%202013\&#1054;&#1090;&#1095;&#1105;&#1090;&#1075;&#1072;\2014%20&#1081;&#1080;&#1083;%20&#1081;&#1080;&#1083;&#1083;&#1080;&#1082;%20&#1093;&#1080;&#1089;&#1086;&#1073;&#1086;&#1090;\&#1057;&#1072;&#1084;&#1072;&#1088;&#1082;&#1072;&#1085;&#1076;%20&#1061;&#1040;&#1041;%202014%20%20&#1081;&#1080;&#1083;&#1083;&#108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андировка"/>
      <sheetName val="Авансовый отчет"/>
      <sheetName val="Платежное поручение"/>
      <sheetName val="Счет-Фактура"/>
      <sheetName val="Накладная"/>
      <sheetName val="Доверенность"/>
      <sheetName val="Расходный ордер"/>
      <sheetName val="Приходный ордер"/>
      <sheetName val="Платежка за телефон"/>
      <sheetName val="Платежка за электроэнерг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ех экон пок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  <sheetName val="уруг ху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1">
          <cell r="H21">
            <v>1005.587</v>
          </cell>
        </row>
        <row r="22">
          <cell r="H22">
            <v>154.92400000000001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хус капитал"/>
      <sheetName val="пул окими"/>
      <sheetName val="Ас.вос.хисоботи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B10">
            <v>3472</v>
          </cell>
        </row>
        <row r="16">
          <cell r="B16">
            <v>0</v>
          </cell>
          <cell r="C1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Бух баланс"/>
      <sheetName val="Расш"/>
      <sheetName val="Мол нат "/>
      <sheetName val="Дт-Кт."/>
      <sheetName val="2-А деб кред"/>
      <sheetName val="Мол натга илова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C10">
            <v>1945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Сам."/>
      <sheetName val="свод"/>
      <sheetName val="Диаграмма1"/>
      <sheetName val="Бух баланс"/>
      <sheetName val="Расш"/>
      <sheetName val="2-А деб кред"/>
      <sheetName val="Мол нат "/>
      <sheetName val="Мол натга илова"/>
      <sheetName val="хус капитал"/>
      <sheetName val="пул окими"/>
      <sheetName val="мол нат илова"/>
      <sheetName val="солик ва ажратма"/>
      <sheetName val="1 % лик реконст"/>
      <sheetName val="Обратка"/>
      <sheetName val="Тех экон пок"/>
      <sheetName val="Асос восит"/>
      <sheetName val="Асос восит (2)"/>
      <sheetName val="Асос восит (3)"/>
      <sheetName val="Тола(Урта)"/>
      <sheetName val="тола свод"/>
      <sheetName val="Линт бал"/>
      <sheetName val="линт свод"/>
      <sheetName val="Улюк бал"/>
      <sheetName val="улбк свод"/>
      <sheetName val="Пух бал"/>
      <sheetName val="пух свод"/>
      <sheetName val="Тех чигит"/>
      <sheetName val="техчигит свод"/>
      <sheetName val="Уруг чигит"/>
      <sheetName val="уругл свод"/>
      <sheetName val="уруглик вил ичи"/>
      <sheetName val="уруглик"/>
      <sheetName val="уруглик бошка вил кирим"/>
      <sheetName val="уруглик бошка вил чикими"/>
      <sheetName val="фермерлар реестри"/>
      <sheetName val="СПС ва урада чириди"/>
      <sheetName val="Хлоппродук"/>
      <sheetName val="МЖК"/>
      <sheetName val="25 АПК"/>
      <sheetName val="25 АПК бог"/>
      <sheetName val="Вспом-1"/>
      <sheetName val="Вспом-2"/>
      <sheetName val="Вспом-1 урожайга"/>
      <sheetName val="Вспом-2 урожайга "/>
      <sheetName val="73-ХЛ"/>
      <sheetName val="26 смета янги"/>
      <sheetName val="1 тонн"/>
      <sheetName val="5-С без"/>
      <sheetName val="Товар продукц"/>
      <sheetName val=" баланс хп урожай сен дек"/>
      <sheetName val="Отклон"/>
      <sheetName val=" баланс хп 2014 год"/>
      <sheetName val="26 смета"/>
      <sheetName val="Хишен"/>
      <sheetName val="остатка"/>
      <sheetName val="внутр дебитор кредитор"/>
      <sheetName val="камчиликлар"/>
      <sheetName val="Лист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5">
          <cell r="DH10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showGridLines="0" showRowColHeaders="0" showZeros="0" showOutlineSymbols="0" topLeftCell="B14597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P35"/>
  <sheetViews>
    <sheetView zoomScale="90" workbookViewId="0"/>
  </sheetViews>
  <sheetFormatPr defaultRowHeight="12.75"/>
  <cols>
    <col min="1" max="1" width="18.28515625" style="47" customWidth="1"/>
    <col min="2" max="3" width="9.28515625" style="80" bestFit="1" customWidth="1"/>
    <col min="4" max="4" width="10.7109375" style="80" customWidth="1"/>
    <col min="5" max="5" width="11.5703125" style="80" customWidth="1"/>
    <col min="6" max="6" width="11.28515625" style="80" customWidth="1"/>
    <col min="7" max="7" width="12.7109375" style="80" customWidth="1"/>
    <col min="8" max="8" width="14.140625" style="80" customWidth="1"/>
    <col min="9" max="9" width="12.42578125" style="47" customWidth="1"/>
    <col min="10" max="10" width="16.28515625" style="47" customWidth="1"/>
    <col min="11" max="11" width="13.42578125" style="47" customWidth="1"/>
    <col min="12" max="12" width="9.140625" style="47"/>
    <col min="13" max="16" width="11.7109375" style="47" hidden="1" customWidth="1"/>
    <col min="17" max="16384" width="9.140625" style="47"/>
  </cols>
  <sheetData>
    <row r="2" spans="1:16" ht="15.75">
      <c r="A2" s="484" t="s">
        <v>474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6" ht="15.75">
      <c r="A3" s="484" t="s">
        <v>258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</row>
    <row r="4" spans="1:16" ht="15.75">
      <c r="A4" s="484" t="s">
        <v>799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</row>
    <row r="5" spans="1:16">
      <c r="D5" s="138"/>
      <c r="E5" s="138"/>
      <c r="F5" s="138"/>
      <c r="G5" s="138"/>
      <c r="I5" s="47" t="s">
        <v>401</v>
      </c>
    </row>
    <row r="6" spans="1:16">
      <c r="A6" s="139" t="s">
        <v>235</v>
      </c>
      <c r="B6" s="140" t="s">
        <v>154</v>
      </c>
      <c r="C6" s="141"/>
      <c r="D6" s="140" t="s">
        <v>389</v>
      </c>
      <c r="E6" s="141"/>
      <c r="F6" s="140" t="s">
        <v>50</v>
      </c>
      <c r="G6" s="142"/>
      <c r="H6" s="141"/>
      <c r="I6" s="143" t="s">
        <v>51</v>
      </c>
      <c r="J6" s="144"/>
      <c r="K6" s="145"/>
    </row>
    <row r="7" spans="1:16">
      <c r="A7" s="146" t="s">
        <v>351</v>
      </c>
      <c r="B7" s="147" t="s">
        <v>165</v>
      </c>
      <c r="C7" s="148"/>
      <c r="D7" s="147" t="s">
        <v>230</v>
      </c>
      <c r="E7" s="148"/>
      <c r="F7" s="147" t="s">
        <v>231</v>
      </c>
      <c r="G7" s="149"/>
      <c r="H7" s="148"/>
      <c r="I7" s="150" t="s">
        <v>385</v>
      </c>
      <c r="J7" s="151"/>
      <c r="K7" s="152"/>
    </row>
    <row r="8" spans="1:16">
      <c r="A8" s="153" t="s">
        <v>386</v>
      </c>
      <c r="B8" s="154"/>
      <c r="C8" s="154"/>
      <c r="D8" s="154"/>
      <c r="E8" s="154"/>
      <c r="F8" s="154" t="s">
        <v>73</v>
      </c>
      <c r="G8" s="154" t="s">
        <v>74</v>
      </c>
      <c r="H8" s="154" t="s">
        <v>141</v>
      </c>
      <c r="I8" s="139" t="s">
        <v>73</v>
      </c>
      <c r="J8" s="139" t="s">
        <v>74</v>
      </c>
      <c r="K8" s="139" t="s">
        <v>141</v>
      </c>
    </row>
    <row r="9" spans="1:16">
      <c r="A9" s="155"/>
      <c r="B9" s="156" t="s">
        <v>124</v>
      </c>
      <c r="C9" s="156" t="s">
        <v>125</v>
      </c>
      <c r="D9" s="156" t="s">
        <v>124</v>
      </c>
      <c r="E9" s="156" t="s">
        <v>125</v>
      </c>
      <c r="F9" s="156" t="s">
        <v>126</v>
      </c>
      <c r="G9" s="156" t="s">
        <v>203</v>
      </c>
      <c r="H9" s="156"/>
      <c r="I9" s="153" t="s">
        <v>126</v>
      </c>
      <c r="J9" s="153" t="s">
        <v>203</v>
      </c>
      <c r="K9" s="153"/>
    </row>
    <row r="10" spans="1:16" ht="18.600000000000001" customHeight="1">
      <c r="A10" s="157" t="s">
        <v>202</v>
      </c>
      <c r="B10" s="225" t="e">
        <f>'Баланс продукции'!#REF!</f>
        <v>#REF!</v>
      </c>
      <c r="C10" s="271" t="e">
        <f>'Баланс продукции'!#REF!</f>
        <v>#REF!</v>
      </c>
      <c r="D10" s="271" t="e">
        <f>ROUND(E10*108%,0)</f>
        <v>#REF!</v>
      </c>
      <c r="E10" s="271" t="e">
        <f>ROUND(F10*108%,0)</f>
        <v>#REF!</v>
      </c>
      <c r="F10" s="271" t="e">
        <f>ROUND(G10*108%,0)</f>
        <v>#REF!</v>
      </c>
      <c r="G10" s="271" t="e">
        <f>ROUND(H10*102%,0)</f>
        <v>#REF!</v>
      </c>
      <c r="H10" s="254" t="e">
        <f>#REF!</f>
        <v>#REF!</v>
      </c>
      <c r="I10" s="158" t="e">
        <f t="shared" ref="I10:I25" si="0">F10*100/D10</f>
        <v>#REF!</v>
      </c>
      <c r="J10" s="158" t="e">
        <f t="shared" ref="J10:J25" si="1">G10*100/E10</f>
        <v>#REF!</v>
      </c>
      <c r="K10" s="158" t="e">
        <f t="shared" ref="K10:K25" si="2">H10*100/E10</f>
        <v>#REF!</v>
      </c>
      <c r="M10" s="125" t="e">
        <f>ROUND(D10,0)</f>
        <v>#REF!</v>
      </c>
      <c r="N10" s="125" t="e">
        <f t="shared" ref="N10:P14" si="3">ROUND(E10,0)</f>
        <v>#REF!</v>
      </c>
      <c r="O10" s="125" t="e">
        <f t="shared" si="3"/>
        <v>#REF!</v>
      </c>
      <c r="P10" s="125" t="e">
        <f t="shared" si="3"/>
        <v>#REF!</v>
      </c>
    </row>
    <row r="11" spans="1:16" ht="18.600000000000001" customHeight="1">
      <c r="A11" s="157" t="s">
        <v>251</v>
      </c>
      <c r="B11" s="271"/>
      <c r="C11" s="271"/>
      <c r="D11" s="271"/>
      <c r="E11" s="271"/>
      <c r="F11" s="271"/>
      <c r="G11" s="271"/>
      <c r="H11" s="271"/>
      <c r="I11" s="158" t="e">
        <f t="shared" si="0"/>
        <v>#DIV/0!</v>
      </c>
      <c r="J11" s="158" t="e">
        <f>G11*100/E11</f>
        <v>#DIV/0!</v>
      </c>
      <c r="K11" s="158" t="e">
        <f t="shared" si="2"/>
        <v>#DIV/0!</v>
      </c>
      <c r="M11" s="125">
        <f>ROUND(D11,0)</f>
        <v>0</v>
      </c>
      <c r="N11" s="125">
        <f t="shared" si="3"/>
        <v>0</v>
      </c>
      <c r="O11" s="125">
        <f t="shared" si="3"/>
        <v>0</v>
      </c>
      <c r="P11" s="125">
        <f t="shared" si="3"/>
        <v>0</v>
      </c>
    </row>
    <row r="12" spans="1:16" ht="18.600000000000001" customHeight="1">
      <c r="A12" s="157" t="s">
        <v>252</v>
      </c>
      <c r="B12" s="271"/>
      <c r="C12" s="271"/>
      <c r="D12" s="271"/>
      <c r="E12" s="271"/>
      <c r="F12" s="271"/>
      <c r="G12" s="271"/>
      <c r="H12" s="271"/>
      <c r="I12" s="158" t="e">
        <f t="shared" si="0"/>
        <v>#DIV/0!</v>
      </c>
      <c r="J12" s="158" t="e">
        <f t="shared" si="1"/>
        <v>#DIV/0!</v>
      </c>
      <c r="K12" s="158" t="e">
        <f t="shared" si="2"/>
        <v>#DIV/0!</v>
      </c>
      <c r="M12" s="125">
        <f>ROUND(D12,0)</f>
        <v>0</v>
      </c>
      <c r="N12" s="125">
        <f t="shared" si="3"/>
        <v>0</v>
      </c>
      <c r="O12" s="125">
        <f t="shared" si="3"/>
        <v>0</v>
      </c>
      <c r="P12" s="125">
        <f t="shared" si="3"/>
        <v>0</v>
      </c>
    </row>
    <row r="13" spans="1:16" ht="18.600000000000001" customHeight="1">
      <c r="A13" s="157" t="s">
        <v>195</v>
      </c>
      <c r="B13" s="271"/>
      <c r="C13" s="271"/>
      <c r="D13" s="271"/>
      <c r="E13" s="271"/>
      <c r="F13" s="271"/>
      <c r="G13" s="271"/>
      <c r="H13" s="271"/>
      <c r="I13" s="158" t="e">
        <f t="shared" si="0"/>
        <v>#DIV/0!</v>
      </c>
      <c r="J13" s="158" t="e">
        <f t="shared" si="1"/>
        <v>#DIV/0!</v>
      </c>
      <c r="K13" s="158" t="e">
        <f t="shared" si="2"/>
        <v>#DIV/0!</v>
      </c>
      <c r="M13" s="125">
        <f>ROUND(D13,0)</f>
        <v>0</v>
      </c>
      <c r="N13" s="125">
        <f t="shared" si="3"/>
        <v>0</v>
      </c>
      <c r="O13" s="125">
        <f t="shared" si="3"/>
        <v>0</v>
      </c>
      <c r="P13" s="125">
        <f t="shared" si="3"/>
        <v>0</v>
      </c>
    </row>
    <row r="14" spans="1:16" ht="18.600000000000001" customHeight="1">
      <c r="A14" s="157" t="s">
        <v>196</v>
      </c>
      <c r="B14" s="271"/>
      <c r="C14" s="271"/>
      <c r="D14" s="271"/>
      <c r="E14" s="271"/>
      <c r="F14" s="271"/>
      <c r="G14" s="271"/>
      <c r="H14" s="271"/>
      <c r="I14" s="158" t="e">
        <f t="shared" si="0"/>
        <v>#DIV/0!</v>
      </c>
      <c r="J14" s="158" t="e">
        <f t="shared" si="1"/>
        <v>#DIV/0!</v>
      </c>
      <c r="K14" s="158" t="e">
        <f t="shared" si="2"/>
        <v>#DIV/0!</v>
      </c>
      <c r="M14" s="125">
        <f>ROUND(D14,0)</f>
        <v>0</v>
      </c>
      <c r="N14" s="125">
        <f t="shared" si="3"/>
        <v>0</v>
      </c>
      <c r="O14" s="125">
        <f t="shared" si="3"/>
        <v>0</v>
      </c>
      <c r="P14" s="125">
        <f t="shared" si="3"/>
        <v>0</v>
      </c>
    </row>
    <row r="15" spans="1:16" s="9" customFormat="1" ht="18.600000000000001" customHeight="1">
      <c r="A15" s="83" t="s">
        <v>464</v>
      </c>
      <c r="B15" s="62" t="e">
        <f>SUM(B10:B14)</f>
        <v>#REF!</v>
      </c>
      <c r="C15" s="62" t="e">
        <f>SUM(C10:C14)</f>
        <v>#REF!</v>
      </c>
      <c r="D15" s="62" t="e">
        <f>SUM(D10:D14)</f>
        <v>#REF!</v>
      </c>
      <c r="E15" s="62" t="e">
        <f>SUM(E10:E14)</f>
        <v>#REF!</v>
      </c>
      <c r="F15" s="62" t="e">
        <f>SUM(F10:F14)</f>
        <v>#REF!</v>
      </c>
      <c r="G15" s="62" t="e">
        <f>G10+G11+G12+G13+G14</f>
        <v>#REF!</v>
      </c>
      <c r="H15" s="62" t="e">
        <f>H10+H11+H12+H13+H14</f>
        <v>#REF!</v>
      </c>
      <c r="I15" s="136" t="e">
        <f>F15*100/D15</f>
        <v>#REF!</v>
      </c>
      <c r="J15" s="136" t="e">
        <f t="shared" si="1"/>
        <v>#REF!</v>
      </c>
      <c r="K15" s="136" t="e">
        <f t="shared" si="2"/>
        <v>#REF!</v>
      </c>
    </row>
    <row r="16" spans="1:16" ht="18.600000000000001" customHeight="1">
      <c r="A16" s="155" t="s">
        <v>352</v>
      </c>
      <c r="B16" s="271">
        <f>'Вспом-1'!B16+'[5]Вспом-1 Ур'!B16</f>
        <v>0</v>
      </c>
      <c r="C16" s="271">
        <f>'Вспом-1'!C16+'[5]Вспом-1 Ур'!C16</f>
        <v>0</v>
      </c>
      <c r="D16" s="254" t="e">
        <f t="shared" ref="D16:G16" si="4">E16</f>
        <v>#REF!</v>
      </c>
      <c r="E16" s="254" t="e">
        <f t="shared" si="4"/>
        <v>#REF!</v>
      </c>
      <c r="F16" s="254" t="e">
        <f t="shared" si="4"/>
        <v>#REF!</v>
      </c>
      <c r="G16" s="254" t="e">
        <f t="shared" si="4"/>
        <v>#REF!</v>
      </c>
      <c r="H16" s="271" t="e">
        <f>#REF!</f>
        <v>#REF!</v>
      </c>
      <c r="I16" s="158" t="e">
        <f t="shared" si="0"/>
        <v>#REF!</v>
      </c>
      <c r="J16" s="158" t="e">
        <f t="shared" si="1"/>
        <v>#REF!</v>
      </c>
      <c r="K16" s="158" t="e">
        <f t="shared" si="2"/>
        <v>#REF!</v>
      </c>
      <c r="M16" s="80"/>
    </row>
    <row r="17" spans="1:11" ht="18.600000000000001" customHeight="1">
      <c r="A17" s="159" t="s">
        <v>23</v>
      </c>
      <c r="B17" s="271"/>
      <c r="C17" s="271"/>
      <c r="D17" s="271"/>
      <c r="E17" s="271"/>
      <c r="F17" s="271"/>
      <c r="G17" s="271"/>
      <c r="H17" s="271"/>
      <c r="I17" s="158" t="e">
        <f t="shared" si="0"/>
        <v>#DIV/0!</v>
      </c>
      <c r="J17" s="158" t="e">
        <f t="shared" si="1"/>
        <v>#DIV/0!</v>
      </c>
      <c r="K17" s="158" t="e">
        <f t="shared" si="2"/>
        <v>#DIV/0!</v>
      </c>
    </row>
    <row r="18" spans="1:11" ht="18.600000000000001" customHeight="1">
      <c r="A18" s="155" t="s">
        <v>487</v>
      </c>
      <c r="B18" s="271">
        <f>SUM(B16:B17)</f>
        <v>0</v>
      </c>
      <c r="C18" s="271">
        <f t="shared" ref="C18:H18" si="5">SUM(C16:C17)</f>
        <v>0</v>
      </c>
      <c r="D18" s="271" t="e">
        <f t="shared" si="5"/>
        <v>#REF!</v>
      </c>
      <c r="E18" s="271" t="e">
        <f t="shared" si="5"/>
        <v>#REF!</v>
      </c>
      <c r="F18" s="271" t="e">
        <f t="shared" si="5"/>
        <v>#REF!</v>
      </c>
      <c r="G18" s="271" t="e">
        <f t="shared" si="5"/>
        <v>#REF!</v>
      </c>
      <c r="H18" s="271" t="e">
        <f t="shared" si="5"/>
        <v>#REF!</v>
      </c>
      <c r="I18" s="158" t="e">
        <f t="shared" si="0"/>
        <v>#REF!</v>
      </c>
      <c r="J18" s="158" t="e">
        <f t="shared" si="1"/>
        <v>#REF!</v>
      </c>
      <c r="K18" s="158" t="e">
        <f t="shared" si="2"/>
        <v>#REF!</v>
      </c>
    </row>
    <row r="19" spans="1:11" ht="18.600000000000001" customHeight="1">
      <c r="A19" s="155" t="s">
        <v>430</v>
      </c>
      <c r="B19" s="156"/>
      <c r="C19" s="156">
        <f>'Вспом-1'!C19-'[6]Вспом-1'!C19</f>
        <v>0</v>
      </c>
      <c r="D19" s="156" t="e">
        <f>'Вспом-1'!D19-'[6]Вспом-1'!D19</f>
        <v>#REF!</v>
      </c>
      <c r="E19" s="156" t="e">
        <f>'Вспом-1'!E19-'[6]Вспом-1'!E19</f>
        <v>#REF!</v>
      </c>
      <c r="F19" s="156" t="e">
        <f>'Вспом-1'!F19-'[6]Вспом-1'!F19</f>
        <v>#REF!</v>
      </c>
      <c r="G19" s="156" t="e">
        <f>'Вспом-1'!G19-'[6]Вспом-1'!G19</f>
        <v>#REF!</v>
      </c>
      <c r="H19" s="156" t="e">
        <f>'Вспом-1'!H19-'[6]Вспом-1'!H19</f>
        <v>#REF!</v>
      </c>
      <c r="I19" s="158" t="e">
        <f t="shared" si="0"/>
        <v>#REF!</v>
      </c>
      <c r="J19" s="158" t="e">
        <f t="shared" si="1"/>
        <v>#REF!</v>
      </c>
      <c r="K19" s="158" t="e">
        <f t="shared" si="2"/>
        <v>#REF!</v>
      </c>
    </row>
    <row r="20" spans="1:11" ht="18.600000000000001" customHeight="1">
      <c r="A20" s="159" t="s">
        <v>138</v>
      </c>
      <c r="B20" s="156"/>
      <c r="C20" s="156"/>
      <c r="D20" s="156"/>
      <c r="E20" s="84"/>
      <c r="F20" s="84"/>
      <c r="G20" s="84"/>
      <c r="H20" s="84"/>
      <c r="I20" s="158" t="e">
        <f t="shared" si="0"/>
        <v>#DIV/0!</v>
      </c>
      <c r="J20" s="158" t="e">
        <f t="shared" si="1"/>
        <v>#DIV/0!</v>
      </c>
      <c r="K20" s="158" t="e">
        <f t="shared" si="2"/>
        <v>#DIV/0!</v>
      </c>
    </row>
    <row r="21" spans="1:11" ht="18.600000000000001" customHeight="1">
      <c r="A21" s="159" t="s">
        <v>169</v>
      </c>
      <c r="B21" s="156"/>
      <c r="C21" s="156"/>
      <c r="D21" s="156"/>
      <c r="E21" s="84"/>
      <c r="F21" s="84"/>
      <c r="G21" s="84"/>
      <c r="H21" s="84"/>
      <c r="I21" s="158" t="e">
        <f t="shared" si="0"/>
        <v>#DIV/0!</v>
      </c>
      <c r="J21" s="158" t="e">
        <f t="shared" si="1"/>
        <v>#DIV/0!</v>
      </c>
      <c r="K21" s="158" t="e">
        <f t="shared" si="2"/>
        <v>#DIV/0!</v>
      </c>
    </row>
    <row r="22" spans="1:11" ht="18.600000000000001" customHeight="1">
      <c r="A22" s="157" t="s">
        <v>164</v>
      </c>
      <c r="B22" s="156"/>
      <c r="C22" s="156"/>
      <c r="D22" s="156"/>
      <c r="E22" s="156"/>
      <c r="F22" s="156"/>
      <c r="G22" s="156"/>
      <c r="H22" s="156"/>
      <c r="I22" s="158" t="e">
        <f t="shared" si="0"/>
        <v>#DIV/0!</v>
      </c>
      <c r="J22" s="158" t="e">
        <f t="shared" si="1"/>
        <v>#DIV/0!</v>
      </c>
      <c r="K22" s="158" t="e">
        <f t="shared" si="2"/>
        <v>#DIV/0!</v>
      </c>
    </row>
    <row r="23" spans="1:11" ht="18.600000000000001" customHeight="1">
      <c r="A23" s="157" t="s">
        <v>139</v>
      </c>
      <c r="B23" s="84">
        <f t="shared" ref="B23:H23" si="6">B19+B20+B21+B22</f>
        <v>0</v>
      </c>
      <c r="C23" s="84">
        <f t="shared" si="6"/>
        <v>0</v>
      </c>
      <c r="D23" s="84" t="e">
        <f t="shared" si="6"/>
        <v>#REF!</v>
      </c>
      <c r="E23" s="84" t="e">
        <f t="shared" si="6"/>
        <v>#REF!</v>
      </c>
      <c r="F23" s="84" t="e">
        <f t="shared" si="6"/>
        <v>#REF!</v>
      </c>
      <c r="G23" s="84" t="e">
        <f t="shared" si="6"/>
        <v>#REF!</v>
      </c>
      <c r="H23" s="84" t="e">
        <f t="shared" si="6"/>
        <v>#REF!</v>
      </c>
      <c r="I23" s="158" t="e">
        <f t="shared" si="0"/>
        <v>#REF!</v>
      </c>
      <c r="J23" s="158" t="e">
        <f t="shared" si="1"/>
        <v>#REF!</v>
      </c>
      <c r="K23" s="158" t="e">
        <f t="shared" si="2"/>
        <v>#REF!</v>
      </c>
    </row>
    <row r="24" spans="1:11">
      <c r="A24" s="155" t="s">
        <v>197</v>
      </c>
      <c r="B24" s="84"/>
      <c r="C24" s="84"/>
      <c r="D24" s="84"/>
      <c r="E24" s="84"/>
      <c r="F24" s="84"/>
      <c r="G24" s="84"/>
      <c r="H24" s="84"/>
      <c r="I24" s="158" t="e">
        <f t="shared" si="0"/>
        <v>#DIV/0!</v>
      </c>
      <c r="J24" s="158" t="e">
        <f t="shared" si="1"/>
        <v>#DIV/0!</v>
      </c>
      <c r="K24" s="158" t="e">
        <f t="shared" si="2"/>
        <v>#DIV/0!</v>
      </c>
    </row>
    <row r="25" spans="1:11">
      <c r="A25" s="155"/>
      <c r="B25" s="84"/>
      <c r="C25" s="84"/>
      <c r="D25" s="84"/>
      <c r="E25" s="84"/>
      <c r="F25" s="84"/>
      <c r="G25" s="84"/>
      <c r="H25" s="84"/>
      <c r="I25" s="158" t="e">
        <f t="shared" si="0"/>
        <v>#DIV/0!</v>
      </c>
      <c r="J25" s="158" t="e">
        <f t="shared" si="1"/>
        <v>#DIV/0!</v>
      </c>
      <c r="K25" s="158" t="e">
        <f t="shared" si="2"/>
        <v>#DIV/0!</v>
      </c>
    </row>
    <row r="26" spans="1:11">
      <c r="A26" s="155"/>
      <c r="B26" s="84"/>
      <c r="C26" s="84"/>
      <c r="D26" s="84"/>
      <c r="E26" s="84"/>
      <c r="F26" s="84"/>
      <c r="G26" s="84"/>
      <c r="H26" s="84"/>
      <c r="I26" s="158"/>
      <c r="J26" s="158"/>
      <c r="K26" s="158"/>
    </row>
    <row r="27" spans="1:11">
      <c r="A27" s="155"/>
      <c r="B27" s="84"/>
      <c r="C27" s="84"/>
      <c r="D27" s="84"/>
      <c r="E27" s="84"/>
      <c r="F27" s="84"/>
      <c r="G27" s="84"/>
      <c r="H27" s="84"/>
      <c r="I27" s="158" t="e">
        <f t="shared" ref="I27:J29" si="7">F27*100/D27</f>
        <v>#DIV/0!</v>
      </c>
      <c r="J27" s="158" t="e">
        <f t="shared" si="7"/>
        <v>#DIV/0!</v>
      </c>
      <c r="K27" s="158" t="e">
        <f>H27*100/E27</f>
        <v>#DIV/0!</v>
      </c>
    </row>
    <row r="28" spans="1:11">
      <c r="A28" s="155" t="s">
        <v>139</v>
      </c>
      <c r="B28" s="84">
        <f t="shared" ref="B28:H28" si="8">B24+B25+B27+B26</f>
        <v>0</v>
      </c>
      <c r="C28" s="84">
        <f t="shared" si="8"/>
        <v>0</v>
      </c>
      <c r="D28" s="84">
        <f t="shared" si="8"/>
        <v>0</v>
      </c>
      <c r="E28" s="84">
        <f t="shared" si="8"/>
        <v>0</v>
      </c>
      <c r="F28" s="84">
        <f t="shared" si="8"/>
        <v>0</v>
      </c>
      <c r="G28" s="84">
        <f t="shared" si="8"/>
        <v>0</v>
      </c>
      <c r="H28" s="84">
        <f t="shared" si="8"/>
        <v>0</v>
      </c>
      <c r="I28" s="158" t="e">
        <f t="shared" si="7"/>
        <v>#DIV/0!</v>
      </c>
      <c r="J28" s="158" t="e">
        <f t="shared" si="7"/>
        <v>#DIV/0!</v>
      </c>
      <c r="K28" s="158" t="e">
        <f>H28*100/E28</f>
        <v>#DIV/0!</v>
      </c>
    </row>
    <row r="29" spans="1:11" s="9" customFormat="1" ht="18" customHeight="1">
      <c r="A29" s="32" t="s">
        <v>407</v>
      </c>
      <c r="B29" s="62" t="e">
        <f t="shared" ref="B29:H29" si="9">+B15+B18+B23+B28</f>
        <v>#REF!</v>
      </c>
      <c r="C29" s="62" t="e">
        <f t="shared" si="9"/>
        <v>#REF!</v>
      </c>
      <c r="D29" s="62" t="e">
        <f t="shared" si="9"/>
        <v>#REF!</v>
      </c>
      <c r="E29" s="62" t="e">
        <f t="shared" si="9"/>
        <v>#REF!</v>
      </c>
      <c r="F29" s="62" t="e">
        <f t="shared" si="9"/>
        <v>#REF!</v>
      </c>
      <c r="G29" s="62" t="e">
        <f t="shared" si="9"/>
        <v>#REF!</v>
      </c>
      <c r="H29" s="62" t="e">
        <f t="shared" si="9"/>
        <v>#REF!</v>
      </c>
      <c r="I29" s="136" t="e">
        <f t="shared" si="7"/>
        <v>#REF!</v>
      </c>
      <c r="J29" s="136" t="e">
        <f t="shared" si="7"/>
        <v>#REF!</v>
      </c>
      <c r="K29" s="136" t="e">
        <f>H29*100/E29</f>
        <v>#REF!</v>
      </c>
    </row>
    <row r="30" spans="1:11">
      <c r="C30" s="137"/>
    </row>
    <row r="31" spans="1:11">
      <c r="I31" s="80"/>
      <c r="J31" s="80"/>
      <c r="K31" s="80"/>
    </row>
    <row r="32" spans="1:11">
      <c r="C32" s="137"/>
    </row>
    <row r="33" spans="1:3" ht="15.75">
      <c r="A33" s="76" t="s">
        <v>26</v>
      </c>
      <c r="C33" s="137"/>
    </row>
    <row r="34" spans="1:3" ht="15.75">
      <c r="A34" s="76"/>
      <c r="C34" s="137"/>
    </row>
    <row r="35" spans="1:3" ht="15.75">
      <c r="A35" s="76" t="s">
        <v>166</v>
      </c>
    </row>
  </sheetData>
  <mergeCells count="3">
    <mergeCell ref="A4:K4"/>
    <mergeCell ref="A2:K2"/>
    <mergeCell ref="A3:K3"/>
  </mergeCells>
  <phoneticPr fontId="6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84" t="s">
        <v>474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28"/>
      <c r="M2" s="65"/>
      <c r="N2" s="65"/>
    </row>
    <row r="3" spans="1:27" ht="15.75">
      <c r="A3" s="484" t="s">
        <v>258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28"/>
      <c r="M3" s="65"/>
      <c r="N3" s="65"/>
    </row>
    <row r="4" spans="1:27" ht="15.75">
      <c r="A4" s="484" t="s">
        <v>794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235</v>
      </c>
      <c r="B6" s="26" t="s">
        <v>154</v>
      </c>
      <c r="C6" s="11"/>
      <c r="D6" s="10" t="s">
        <v>389</v>
      </c>
      <c r="E6" s="11"/>
      <c r="F6" s="10" t="s">
        <v>50</v>
      </c>
      <c r="G6" s="26"/>
      <c r="H6" s="11"/>
      <c r="I6" s="33" t="s">
        <v>51</v>
      </c>
      <c r="J6" s="34"/>
      <c r="K6" s="24"/>
      <c r="L6" s="12" t="s">
        <v>235</v>
      </c>
      <c r="M6" s="60" t="s">
        <v>431</v>
      </c>
      <c r="N6" s="55"/>
      <c r="O6" s="60" t="s">
        <v>432</v>
      </c>
      <c r="P6" s="55"/>
      <c r="Q6" s="54" t="s">
        <v>433</v>
      </c>
      <c r="R6" s="66" t="s">
        <v>434</v>
      </c>
      <c r="S6" s="67"/>
      <c r="T6" s="68"/>
      <c r="U6" s="23" t="s">
        <v>51</v>
      </c>
      <c r="V6" s="29"/>
      <c r="W6" s="24"/>
    </row>
    <row r="7" spans="1:27">
      <c r="A7" s="22" t="s">
        <v>477</v>
      </c>
      <c r="B7" s="27" t="s">
        <v>165</v>
      </c>
      <c r="C7" s="14"/>
      <c r="D7" s="13" t="s">
        <v>478</v>
      </c>
      <c r="E7" s="14"/>
      <c r="F7" s="13" t="s">
        <v>231</v>
      </c>
      <c r="G7" s="27"/>
      <c r="H7" s="14"/>
      <c r="I7" s="35" t="s">
        <v>385</v>
      </c>
      <c r="J7" s="36"/>
      <c r="K7" s="16"/>
      <c r="L7" s="22" t="s">
        <v>477</v>
      </c>
      <c r="M7" s="61"/>
      <c r="N7" s="57"/>
      <c r="O7" s="61" t="s">
        <v>223</v>
      </c>
      <c r="P7" s="57"/>
      <c r="Q7" s="56" t="s">
        <v>484</v>
      </c>
      <c r="R7" s="69" t="s">
        <v>361</v>
      </c>
      <c r="S7" s="70"/>
      <c r="T7" s="71"/>
      <c r="U7" s="30" t="s">
        <v>385</v>
      </c>
      <c r="V7" s="31"/>
      <c r="W7" s="16"/>
    </row>
    <row r="8" spans="1:27">
      <c r="A8" s="22" t="s">
        <v>406</v>
      </c>
      <c r="B8" s="11"/>
      <c r="C8" s="12"/>
      <c r="D8" s="12"/>
      <c r="E8" s="12"/>
      <c r="F8" s="12" t="s">
        <v>73</v>
      </c>
      <c r="G8" s="12" t="s">
        <v>74</v>
      </c>
      <c r="H8" s="12" t="s">
        <v>141</v>
      </c>
      <c r="I8" s="12" t="s">
        <v>73</v>
      </c>
      <c r="J8" s="12" t="s">
        <v>74</v>
      </c>
      <c r="K8" s="12" t="s">
        <v>141</v>
      </c>
      <c r="L8" s="15" t="s">
        <v>406</v>
      </c>
      <c r="M8" s="54" t="s">
        <v>362</v>
      </c>
      <c r="N8" s="54" t="s">
        <v>125</v>
      </c>
      <c r="O8" s="54" t="s">
        <v>362</v>
      </c>
      <c r="P8" s="54" t="s">
        <v>125</v>
      </c>
      <c r="Q8" s="56" t="s">
        <v>256</v>
      </c>
      <c r="R8" s="54" t="s">
        <v>73</v>
      </c>
      <c r="S8" s="54" t="s">
        <v>74</v>
      </c>
      <c r="T8" s="54" t="s">
        <v>141</v>
      </c>
      <c r="U8" s="12" t="s">
        <v>73</v>
      </c>
      <c r="V8" s="12" t="s">
        <v>74</v>
      </c>
      <c r="W8" s="12" t="s">
        <v>141</v>
      </c>
    </row>
    <row r="9" spans="1:27">
      <c r="A9" s="15"/>
      <c r="B9" s="14" t="s">
        <v>124</v>
      </c>
      <c r="C9" s="15" t="s">
        <v>125</v>
      </c>
      <c r="D9" s="15" t="s">
        <v>124</v>
      </c>
      <c r="E9" s="15" t="s">
        <v>125</v>
      </c>
      <c r="F9" s="15" t="s">
        <v>126</v>
      </c>
      <c r="G9" s="15" t="s">
        <v>203</v>
      </c>
      <c r="H9" s="15"/>
      <c r="I9" s="15" t="s">
        <v>126</v>
      </c>
      <c r="J9" s="15" t="s">
        <v>203</v>
      </c>
      <c r="K9" s="15"/>
      <c r="L9" s="8"/>
      <c r="M9" s="53"/>
      <c r="N9" s="53"/>
      <c r="O9" s="53"/>
      <c r="P9" s="53"/>
      <c r="Q9" s="53" t="s">
        <v>363</v>
      </c>
      <c r="R9" s="53" t="s">
        <v>126</v>
      </c>
      <c r="S9" s="53" t="s">
        <v>203</v>
      </c>
      <c r="T9" s="53"/>
      <c r="U9" s="15" t="s">
        <v>126</v>
      </c>
      <c r="V9" s="15" t="s">
        <v>203</v>
      </c>
      <c r="W9" s="15"/>
    </row>
    <row r="10" spans="1:27" ht="19.5" customHeight="1">
      <c r="A10" s="117" t="s">
        <v>401</v>
      </c>
      <c r="B10" s="84" t="e">
        <f>'Вспом-1 Ур'!B15</f>
        <v>#REF!</v>
      </c>
      <c r="C10" s="84" t="e">
        <f>'Вспом-1 Ур'!C15</f>
        <v>#REF!</v>
      </c>
      <c r="D10" s="84" t="e">
        <f>'Вспом-1 Ур'!D29</f>
        <v>#REF!</v>
      </c>
      <c r="E10" s="84" t="e">
        <f>'Вспом-1 Ур'!E29</f>
        <v>#REF!</v>
      </c>
      <c r="F10" s="84" t="e">
        <f>'Вспом-1 Ур'!F29</f>
        <v>#REF!</v>
      </c>
      <c r="G10" s="84" t="e">
        <f>'Вспом-1 Ур'!G29</f>
        <v>#REF!</v>
      </c>
      <c r="H10" s="84" t="e">
        <f>'Вспом-1 Ур'!H29</f>
        <v>#REF!</v>
      </c>
      <c r="I10" s="85" t="e">
        <f>F10*100/D10</f>
        <v>#REF!</v>
      </c>
      <c r="J10" s="85" t="e">
        <f>G10*100/E10</f>
        <v>#REF!</v>
      </c>
      <c r="K10" s="85" t="e">
        <f>H10*100/E10</f>
        <v>#REF!</v>
      </c>
      <c r="L10" s="45" t="s">
        <v>401</v>
      </c>
      <c r="M10" s="84" t="e">
        <f>N10</f>
        <v>#REF!</v>
      </c>
      <c r="N10" s="84" t="e">
        <f>#REF!</f>
        <v>#REF!</v>
      </c>
      <c r="O10" s="84" t="e">
        <f>P10</f>
        <v>#REF!</v>
      </c>
      <c r="P10" s="84" t="e">
        <f>#REF!</f>
        <v>#REF!</v>
      </c>
      <c r="Q10" s="84"/>
      <c r="R10" s="88" t="e">
        <f>F10+M10+O10</f>
        <v>#REF!</v>
      </c>
      <c r="S10" s="88" t="e">
        <f>G10+M10+O10</f>
        <v>#REF!</v>
      </c>
      <c r="T10" s="88" t="e">
        <f>H10+N10+P10</f>
        <v>#REF!</v>
      </c>
      <c r="U10" s="116" t="e">
        <f>R10*100/D10</f>
        <v>#REF!</v>
      </c>
      <c r="V10" s="116" t="e">
        <f>S10*100/E10</f>
        <v>#REF!</v>
      </c>
      <c r="W10" s="116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9"/>
      <c r="D11" s="79"/>
      <c r="E11" s="79"/>
      <c r="F11" s="79"/>
      <c r="G11" s="79"/>
      <c r="H11" s="90"/>
      <c r="I11" s="92"/>
      <c r="J11" s="92"/>
      <c r="K11" s="92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38</v>
      </c>
      <c r="N12" s="63"/>
      <c r="O12" s="63"/>
      <c r="P12" s="63"/>
      <c r="Q12" s="63"/>
      <c r="R12" s="9" t="s">
        <v>166</v>
      </c>
      <c r="S12" s="63"/>
      <c r="T12" s="63"/>
    </row>
    <row r="13" spans="1:27">
      <c r="A13" t="s">
        <v>406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U13" s="51"/>
      <c r="V13" s="51"/>
      <c r="W13" s="51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4:K4"/>
    <mergeCell ref="A3:K3"/>
    <mergeCell ref="A2:K2"/>
  </mergeCells>
  <phoneticPr fontId="6" type="noConversion"/>
  <pageMargins left="0.96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4:AD432"/>
  <sheetViews>
    <sheetView zoomScaleSheetLayoutView="100" workbookViewId="0"/>
  </sheetViews>
  <sheetFormatPr defaultRowHeight="12.75"/>
  <cols>
    <col min="1" max="1" width="9.140625" style="205"/>
    <col min="2" max="2" width="11.85546875" style="205" customWidth="1"/>
    <col min="3" max="3" width="9.140625" style="205"/>
    <col min="4" max="4" width="9.28515625" style="226" customWidth="1"/>
    <col min="5" max="5" width="11.140625" style="226" bestFit="1" customWidth="1"/>
    <col min="6" max="6" width="12" style="226" customWidth="1"/>
    <col min="7" max="7" width="11.85546875" style="226" customWidth="1"/>
    <col min="8" max="9" width="9.28515625" style="226" customWidth="1"/>
    <col min="10" max="10" width="9.140625" style="205"/>
    <col min="11" max="11" width="11.85546875" style="226" customWidth="1"/>
    <col min="12" max="13" width="12.7109375" style="226" customWidth="1"/>
    <col min="14" max="14" width="13.140625" style="205" customWidth="1"/>
    <col min="15" max="18" width="10.5703125" style="205" customWidth="1"/>
    <col min="19" max="19" width="6.42578125" style="205" customWidth="1"/>
    <col min="20" max="20" width="12.28515625" style="205" customWidth="1"/>
    <col min="21" max="25" width="9.140625" style="205" customWidth="1"/>
    <col min="26" max="29" width="9.140625" style="205"/>
    <col min="30" max="30" width="12" style="205" customWidth="1"/>
    <col min="31" max="40" width="9.140625" style="205"/>
    <col min="41" max="41" width="12" style="205" customWidth="1"/>
    <col min="42" max="51" width="9.140625" style="205"/>
    <col min="52" max="52" width="12" style="205" customWidth="1"/>
    <col min="53" max="54" width="9.140625" style="205"/>
    <col min="55" max="56" width="10.140625" style="205" bestFit="1" customWidth="1"/>
    <col min="57" max="16384" width="9.140625" style="205"/>
  </cols>
  <sheetData>
    <row r="4" spans="2:13">
      <c r="G4" s="226" t="s">
        <v>359</v>
      </c>
    </row>
    <row r="6" spans="2:13">
      <c r="B6" s="495"/>
      <c r="C6" s="495"/>
      <c r="D6" s="495"/>
      <c r="E6" s="495"/>
      <c r="F6" s="495"/>
      <c r="G6" s="495"/>
    </row>
    <row r="8" spans="2:13" s="119" customFormat="1" ht="18">
      <c r="B8" s="496" t="s">
        <v>244</v>
      </c>
      <c r="C8" s="496"/>
      <c r="D8" s="496"/>
      <c r="E8" s="496"/>
      <c r="F8" s="496"/>
      <c r="G8" s="496"/>
      <c r="H8" s="118"/>
      <c r="I8" s="118"/>
      <c r="K8" s="118"/>
      <c r="L8" s="118"/>
      <c r="M8" s="118"/>
    </row>
    <row r="10" spans="2:13" ht="18">
      <c r="B10" s="228" t="s">
        <v>45</v>
      </c>
      <c r="C10" s="228"/>
      <c r="D10" s="228"/>
      <c r="E10" s="228"/>
      <c r="F10" s="228"/>
      <c r="G10" s="228"/>
    </row>
    <row r="22" spans="2:7">
      <c r="B22" s="495" t="s">
        <v>259</v>
      </c>
      <c r="C22" s="495"/>
      <c r="D22" s="495"/>
      <c r="E22" s="495"/>
      <c r="F22" s="495"/>
      <c r="G22" s="495"/>
    </row>
    <row r="23" spans="2:7">
      <c r="B23" s="495" t="s">
        <v>383</v>
      </c>
      <c r="C23" s="495"/>
      <c r="D23" s="495"/>
      <c r="E23" s="495"/>
      <c r="F23" s="495"/>
      <c r="G23" s="495"/>
    </row>
    <row r="24" spans="2:7">
      <c r="B24" s="495" t="s">
        <v>63</v>
      </c>
      <c r="C24" s="495"/>
      <c r="D24" s="495"/>
      <c r="E24" s="495"/>
      <c r="F24" s="495"/>
      <c r="G24" s="495"/>
    </row>
    <row r="30" spans="2:7">
      <c r="B30" s="495" t="s">
        <v>62</v>
      </c>
      <c r="C30" s="495"/>
      <c r="D30" s="495"/>
      <c r="E30" s="495"/>
      <c r="F30" s="495"/>
      <c r="G30" s="495"/>
    </row>
    <row r="31" spans="2:7">
      <c r="B31" s="495" t="s">
        <v>205</v>
      </c>
      <c r="C31" s="495"/>
      <c r="D31" s="495"/>
      <c r="E31" s="495"/>
      <c r="F31" s="495"/>
      <c r="G31" s="495"/>
    </row>
    <row r="33" spans="2:7" ht="18">
      <c r="B33" s="496" t="s">
        <v>798</v>
      </c>
      <c r="C33" s="496"/>
      <c r="D33" s="496"/>
      <c r="E33" s="496"/>
      <c r="F33" s="496"/>
      <c r="G33" s="496"/>
    </row>
    <row r="67" spans="1:19">
      <c r="D67" s="205"/>
      <c r="J67" s="226"/>
    </row>
    <row r="68" spans="1:19">
      <c r="D68" s="205"/>
      <c r="G68" s="59"/>
      <c r="J68" s="226"/>
    </row>
    <row r="69" spans="1:19">
      <c r="D69" s="205"/>
      <c r="J69" s="226"/>
    </row>
    <row r="70" spans="1:19">
      <c r="D70" s="205"/>
      <c r="J70" s="226"/>
    </row>
    <row r="71" spans="1:19">
      <c r="D71" s="205"/>
      <c r="J71" s="226"/>
    </row>
    <row r="72" spans="1:19" ht="16.5" customHeight="1">
      <c r="A72" s="205" t="s">
        <v>317</v>
      </c>
      <c r="E72" s="226" t="s">
        <v>236</v>
      </c>
      <c r="H72" s="226" t="e">
        <f>#REF!</f>
        <v>#REF!</v>
      </c>
      <c r="J72" s="226"/>
    </row>
    <row r="73" spans="1:19" ht="16.5" customHeight="1">
      <c r="E73" s="226" t="s">
        <v>227</v>
      </c>
      <c r="H73" s="226">
        <f>J79</f>
        <v>11226</v>
      </c>
      <c r="J73" s="226"/>
    </row>
    <row r="74" spans="1:19" ht="16.5" customHeight="1">
      <c r="E74" s="226" t="s">
        <v>226</v>
      </c>
      <c r="J74" s="226"/>
    </row>
    <row r="75" spans="1:19" ht="16.5" customHeight="1">
      <c r="E75" s="271" t="s">
        <v>498</v>
      </c>
      <c r="F75" s="271" t="s">
        <v>497</v>
      </c>
      <c r="G75" s="271" t="s">
        <v>496</v>
      </c>
      <c r="H75" s="271" t="s">
        <v>495</v>
      </c>
      <c r="I75" s="271" t="s">
        <v>494</v>
      </c>
      <c r="J75" s="271" t="s">
        <v>168</v>
      </c>
    </row>
    <row r="76" spans="1:19" ht="16.5" customHeight="1">
      <c r="D76" s="226" t="s">
        <v>493</v>
      </c>
      <c r="E76" s="271">
        <f>10490+330</f>
        <v>10820</v>
      </c>
      <c r="F76" s="271"/>
      <c r="G76" s="271"/>
      <c r="H76" s="271"/>
      <c r="I76" s="271"/>
      <c r="J76" s="271">
        <f>E76+F76+G76+H76+I76</f>
        <v>10820</v>
      </c>
      <c r="K76" s="226">
        <f>E76*2056.79</f>
        <v>22254467.800000001</v>
      </c>
    </row>
    <row r="77" spans="1:19" ht="16.5" customHeight="1">
      <c r="D77" s="226" t="s">
        <v>56</v>
      </c>
      <c r="E77" s="271">
        <v>406</v>
      </c>
      <c r="F77" s="271"/>
      <c r="G77" s="271"/>
      <c r="H77" s="271"/>
      <c r="I77" s="271"/>
      <c r="J77" s="271">
        <f>E77+F77+G77+H77+I77</f>
        <v>406</v>
      </c>
      <c r="K77" s="226">
        <f>E77*2004.15</f>
        <v>813684.9</v>
      </c>
    </row>
    <row r="78" spans="1:19" ht="16.5" customHeight="1">
      <c r="D78" s="226" t="s">
        <v>201</v>
      </c>
      <c r="E78" s="271"/>
      <c r="F78" s="271"/>
      <c r="G78" s="271"/>
      <c r="H78" s="271"/>
      <c r="I78" s="271"/>
      <c r="J78" s="271">
        <f>E78+F78+G78+H78+I78</f>
        <v>0</v>
      </c>
      <c r="M78" s="226">
        <v>1880.06</v>
      </c>
    </row>
    <row r="79" spans="1:19" ht="16.5" customHeight="1">
      <c r="D79" s="226" t="s">
        <v>168</v>
      </c>
      <c r="E79" s="229">
        <f t="shared" ref="E79:J79" si="0">E76+E77+E78</f>
        <v>11226</v>
      </c>
      <c r="F79" s="229">
        <f t="shared" si="0"/>
        <v>0</v>
      </c>
      <c r="G79" s="229">
        <f t="shared" si="0"/>
        <v>0</v>
      </c>
      <c r="H79" s="229">
        <f t="shared" si="0"/>
        <v>0</v>
      </c>
      <c r="I79" s="229">
        <f t="shared" si="0"/>
        <v>0</v>
      </c>
      <c r="J79" s="229">
        <f t="shared" si="0"/>
        <v>11226</v>
      </c>
      <c r="K79" s="226">
        <f>SUM(K76:K78)</f>
        <v>23068152.699999999</v>
      </c>
      <c r="N79" s="230"/>
      <c r="O79" s="230"/>
      <c r="P79" s="230"/>
      <c r="Q79" s="230"/>
      <c r="R79" s="230"/>
      <c r="S79" s="230"/>
    </row>
    <row r="80" spans="1:19" ht="16.5" customHeight="1">
      <c r="A80" s="498" t="s">
        <v>162</v>
      </c>
      <c r="B80" s="499"/>
      <c r="C80" s="500"/>
      <c r="D80" s="231" t="s">
        <v>161</v>
      </c>
      <c r="E80" s="490" t="s">
        <v>243</v>
      </c>
      <c r="F80" s="490"/>
      <c r="G80" s="491"/>
      <c r="H80" s="489" t="s">
        <v>347</v>
      </c>
      <c r="I80" s="490"/>
      <c r="J80" s="491"/>
    </row>
    <row r="81" spans="1:12" ht="16.5" customHeight="1">
      <c r="A81" s="492" t="s">
        <v>156</v>
      </c>
      <c r="B81" s="493"/>
      <c r="C81" s="494"/>
      <c r="D81" s="232" t="s">
        <v>463</v>
      </c>
      <c r="E81" s="222" t="s">
        <v>462</v>
      </c>
      <c r="F81" s="231" t="s">
        <v>191</v>
      </c>
      <c r="G81" s="222" t="s">
        <v>193</v>
      </c>
      <c r="H81" s="231" t="s">
        <v>192</v>
      </c>
      <c r="I81" s="232" t="s">
        <v>191</v>
      </c>
      <c r="J81" s="231" t="s">
        <v>190</v>
      </c>
    </row>
    <row r="82" spans="1:12" ht="16.5" customHeight="1">
      <c r="A82" s="233"/>
      <c r="B82" s="234"/>
      <c r="C82" s="235"/>
      <c r="D82" s="232" t="s">
        <v>116</v>
      </c>
      <c r="E82" s="222" t="s">
        <v>189</v>
      </c>
      <c r="F82" s="232" t="s">
        <v>402</v>
      </c>
      <c r="G82" s="222" t="s">
        <v>234</v>
      </c>
      <c r="H82" s="232" t="s">
        <v>459</v>
      </c>
      <c r="I82" s="232" t="s">
        <v>167</v>
      </c>
      <c r="J82" s="232" t="s">
        <v>167</v>
      </c>
    </row>
    <row r="83" spans="1:12" ht="16.5" customHeight="1">
      <c r="A83" s="233"/>
      <c r="B83" s="234"/>
      <c r="C83" s="235"/>
      <c r="D83" s="232"/>
      <c r="E83" s="222" t="s">
        <v>458</v>
      </c>
      <c r="F83" s="232" t="s">
        <v>457</v>
      </c>
      <c r="G83" s="222" t="s">
        <v>64</v>
      </c>
      <c r="H83" s="232" t="s">
        <v>167</v>
      </c>
      <c r="I83" s="222"/>
      <c r="J83" s="232"/>
    </row>
    <row r="84" spans="1:12" ht="16.5" customHeight="1">
      <c r="A84" s="233"/>
      <c r="B84" s="234"/>
      <c r="C84" s="235"/>
      <c r="D84" s="232"/>
      <c r="E84" s="222" t="s">
        <v>174</v>
      </c>
      <c r="F84" s="232" t="s">
        <v>174</v>
      </c>
      <c r="G84" s="222" t="s">
        <v>173</v>
      </c>
      <c r="H84" s="232"/>
      <c r="I84" s="222"/>
      <c r="J84" s="232"/>
    </row>
    <row r="85" spans="1:12" ht="16.5" customHeight="1">
      <c r="A85" s="233"/>
      <c r="B85" s="234"/>
      <c r="C85" s="235"/>
      <c r="D85" s="232"/>
      <c r="E85" s="222" t="s">
        <v>172</v>
      </c>
      <c r="F85" s="232" t="s">
        <v>172</v>
      </c>
      <c r="G85" s="222" t="s">
        <v>171</v>
      </c>
      <c r="H85" s="232"/>
      <c r="I85" s="222"/>
      <c r="J85" s="232"/>
    </row>
    <row r="86" spans="1:12" ht="16.5" customHeight="1">
      <c r="A86" s="236"/>
      <c r="B86" s="237"/>
      <c r="C86" s="238"/>
      <c r="D86" s="239"/>
      <c r="E86" s="240" t="s">
        <v>405</v>
      </c>
      <c r="F86" s="239" t="s">
        <v>405</v>
      </c>
      <c r="G86" s="240"/>
      <c r="H86" s="239"/>
      <c r="I86" s="240"/>
      <c r="J86" s="239"/>
    </row>
    <row r="87" spans="1:12" ht="16.5" customHeight="1">
      <c r="A87" s="497"/>
      <c r="B87" s="497"/>
      <c r="C87" s="497"/>
      <c r="D87" s="221"/>
      <c r="E87" s="221">
        <v>1</v>
      </c>
      <c r="F87" s="221">
        <v>2</v>
      </c>
      <c r="G87" s="221">
        <v>3</v>
      </c>
      <c r="H87" s="221">
        <v>4</v>
      </c>
      <c r="I87" s="221">
        <v>5</v>
      </c>
      <c r="J87" s="221">
        <v>6</v>
      </c>
    </row>
    <row r="88" spans="1:12" ht="16.5" customHeight="1">
      <c r="A88" s="120" t="s">
        <v>465</v>
      </c>
      <c r="B88" s="241"/>
      <c r="C88" s="242"/>
      <c r="D88" s="243"/>
      <c r="E88" s="229"/>
      <c r="F88" s="244"/>
      <c r="G88" s="229"/>
      <c r="H88" s="244"/>
      <c r="I88" s="229"/>
      <c r="J88" s="245"/>
    </row>
    <row r="89" spans="1:12" ht="17.25" customHeight="1">
      <c r="A89" s="246" t="s">
        <v>148</v>
      </c>
      <c r="B89" s="241"/>
      <c r="C89" s="242"/>
      <c r="D89" s="247" t="s">
        <v>43</v>
      </c>
      <c r="E89" s="271"/>
      <c r="F89" s="248">
        <f>ROUND(G89*1.04,0)-520663-6146</f>
        <v>20271697</v>
      </c>
      <c r="G89" s="271">
        <f>ROUND(K79,0)-3538384.3+468795</f>
        <v>19998563.699999999</v>
      </c>
      <c r="H89" s="248" t="e">
        <f>E89*1000/H72</f>
        <v>#REF!</v>
      </c>
      <c r="I89" s="271" t="e">
        <f>F89*1000/H72</f>
        <v>#REF!</v>
      </c>
      <c r="J89" s="249" t="e">
        <f>G89*1000/H72</f>
        <v>#REF!</v>
      </c>
      <c r="K89" s="226">
        <f>G89/J79</f>
        <v>1781.4505344735435</v>
      </c>
      <c r="L89" s="226">
        <v>111111</v>
      </c>
    </row>
    <row r="90" spans="1:12" ht="17.25" customHeight="1">
      <c r="A90" s="246" t="s">
        <v>42</v>
      </c>
      <c r="B90" s="241"/>
      <c r="C90" s="242"/>
      <c r="D90" s="247" t="s">
        <v>25</v>
      </c>
      <c r="E90" s="271"/>
      <c r="F90" s="248" t="e">
        <f>ROUND(G90*1.04,0)</f>
        <v>#REF!</v>
      </c>
      <c r="G90" s="271" t="e">
        <f>N363+34720+27363</f>
        <v>#REF!</v>
      </c>
      <c r="H90" s="247" t="e">
        <f>E90*1000/H72</f>
        <v>#REF!</v>
      </c>
      <c r="I90" s="271" t="e">
        <f>F90*1000/H72</f>
        <v>#REF!</v>
      </c>
      <c r="J90" s="249" t="e">
        <f>G90*1000/H72</f>
        <v>#REF!</v>
      </c>
    </row>
    <row r="91" spans="1:12" ht="17.25" customHeight="1">
      <c r="A91" s="250" t="s">
        <v>24</v>
      </c>
      <c r="B91" s="251"/>
      <c r="C91" s="252"/>
      <c r="D91" s="243"/>
      <c r="E91" s="229"/>
      <c r="F91" s="244"/>
      <c r="G91" s="243"/>
      <c r="H91" s="243"/>
      <c r="I91" s="229"/>
      <c r="J91" s="245"/>
    </row>
    <row r="92" spans="1:12" ht="17.25" customHeight="1">
      <c r="A92" s="236" t="s">
        <v>372</v>
      </c>
      <c r="B92" s="237"/>
      <c r="C92" s="238"/>
      <c r="D92" s="253" t="s">
        <v>137</v>
      </c>
      <c r="E92" s="254"/>
      <c r="F92" s="248" t="e">
        <f>G92</f>
        <v>#REF!</v>
      </c>
      <c r="G92" s="253" t="e">
        <f>N365+3080</f>
        <v>#REF!</v>
      </c>
      <c r="H92" s="255" t="e">
        <f>E92*1000/H72</f>
        <v>#REF!</v>
      </c>
      <c r="I92" s="256" t="e">
        <f>F92*1000/H72</f>
        <v>#REF!</v>
      </c>
      <c r="J92" s="257" t="e">
        <f>G92*1000/H72</f>
        <v>#REF!</v>
      </c>
    </row>
    <row r="93" spans="1:12" ht="17.25" customHeight="1">
      <c r="A93" s="250" t="s">
        <v>372</v>
      </c>
      <c r="B93" s="251"/>
      <c r="C93" s="252"/>
      <c r="E93" s="256"/>
      <c r="G93" s="255"/>
      <c r="H93" s="243"/>
      <c r="I93" s="229"/>
      <c r="J93" s="245"/>
    </row>
    <row r="94" spans="1:12" ht="17.25" customHeight="1">
      <c r="A94" s="233" t="s">
        <v>60</v>
      </c>
      <c r="B94" s="234"/>
      <c r="C94" s="235"/>
      <c r="E94" s="256"/>
      <c r="G94" s="255"/>
      <c r="H94" s="255"/>
      <c r="I94" s="256"/>
      <c r="J94" s="257"/>
    </row>
    <row r="95" spans="1:12" ht="17.25" customHeight="1">
      <c r="A95" s="236" t="s">
        <v>59</v>
      </c>
      <c r="B95" s="237"/>
      <c r="C95" s="238"/>
      <c r="D95" s="226" t="s">
        <v>29</v>
      </c>
      <c r="E95" s="256">
        <f>E89+E90-E92</f>
        <v>0</v>
      </c>
      <c r="F95" s="256" t="e">
        <f>F89+F90-F92</f>
        <v>#REF!</v>
      </c>
      <c r="G95" s="255" t="e">
        <f>G89+G90-G92</f>
        <v>#REF!</v>
      </c>
      <c r="H95" s="253" t="e">
        <f>E95*1000/H72</f>
        <v>#REF!</v>
      </c>
      <c r="I95" s="254" t="e">
        <f>F95*1000/H72</f>
        <v>#REF!</v>
      </c>
      <c r="J95" s="258" t="e">
        <f>G95*1000/H72</f>
        <v>#REF!</v>
      </c>
    </row>
    <row r="96" spans="1:12" ht="17.25" customHeight="1">
      <c r="A96" s="121" t="s">
        <v>28</v>
      </c>
      <c r="B96" s="122"/>
      <c r="C96" s="123"/>
      <c r="D96" s="247"/>
      <c r="E96" s="271"/>
      <c r="F96" s="248"/>
      <c r="G96" s="271"/>
      <c r="H96" s="259"/>
      <c r="I96" s="254"/>
      <c r="J96" s="258"/>
    </row>
    <row r="97" spans="1:10" ht="17.25" customHeight="1">
      <c r="A97" s="246" t="s">
        <v>27</v>
      </c>
      <c r="B97" s="241"/>
      <c r="C97" s="242"/>
      <c r="D97" s="247" t="s">
        <v>41</v>
      </c>
      <c r="E97" s="271"/>
      <c r="F97" s="248" t="e">
        <f>ROUND(G97*1.04,0)</f>
        <v>#REF!</v>
      </c>
      <c r="G97" s="253" t="e">
        <f>N370-514</f>
        <v>#REF!</v>
      </c>
      <c r="H97" s="244" t="e">
        <f>E97*1000/H72</f>
        <v>#REF!</v>
      </c>
      <c r="I97" s="229" t="e">
        <f>F97*1000/H72</f>
        <v>#REF!</v>
      </c>
      <c r="J97" s="245" t="e">
        <f>G97*1000/H72</f>
        <v>#REF!</v>
      </c>
    </row>
    <row r="98" spans="1:10" ht="17.25" customHeight="1">
      <c r="A98" s="250" t="s">
        <v>399</v>
      </c>
      <c r="B98" s="251"/>
      <c r="C98" s="252"/>
      <c r="E98" s="229"/>
      <c r="G98" s="243"/>
      <c r="H98" s="243"/>
      <c r="I98" s="229"/>
      <c r="J98" s="245"/>
    </row>
    <row r="99" spans="1:10" ht="17.25" customHeight="1">
      <c r="A99" s="233" t="s">
        <v>398</v>
      </c>
      <c r="B99" s="234"/>
      <c r="C99" s="235"/>
      <c r="E99" s="256"/>
      <c r="G99" s="255"/>
      <c r="H99" s="255"/>
      <c r="I99" s="256"/>
      <c r="J99" s="257"/>
    </row>
    <row r="100" spans="1:10" ht="17.25" customHeight="1">
      <c r="A100" s="236" t="s">
        <v>397</v>
      </c>
      <c r="B100" s="237"/>
      <c r="C100" s="238"/>
      <c r="D100" s="226" t="s">
        <v>346</v>
      </c>
      <c r="E100" s="256"/>
      <c r="F100" s="248" t="e">
        <f>ROUND(G100*1.04,0)</f>
        <v>#REF!</v>
      </c>
      <c r="G100" s="253" t="e">
        <f>N373+6068+19996</f>
        <v>#REF!</v>
      </c>
      <c r="H100" s="255" t="e">
        <f>E100*1000/H72</f>
        <v>#REF!</v>
      </c>
      <c r="I100" s="256" t="e">
        <f>F100*1000/H72</f>
        <v>#REF!</v>
      </c>
      <c r="J100" s="257" t="e">
        <f>G100*1000/H72</f>
        <v>#REF!</v>
      </c>
    </row>
    <row r="101" spans="1:10" ht="17.25" customHeight="1">
      <c r="A101" s="250" t="s">
        <v>343</v>
      </c>
      <c r="B101" s="251"/>
      <c r="C101" s="252"/>
      <c r="D101" s="243"/>
      <c r="E101" s="229"/>
      <c r="F101" s="244"/>
      <c r="G101" s="243"/>
      <c r="H101" s="243"/>
      <c r="I101" s="229"/>
      <c r="J101" s="245"/>
    </row>
    <row r="102" spans="1:10" ht="17.25" customHeight="1">
      <c r="A102" s="236" t="s">
        <v>342</v>
      </c>
      <c r="B102" s="237"/>
      <c r="C102" s="238"/>
      <c r="D102" s="253" t="s">
        <v>341</v>
      </c>
      <c r="E102" s="254"/>
      <c r="F102" s="248" t="e">
        <f>ROUND(G102*1.04,0)</f>
        <v>#REF!</v>
      </c>
      <c r="G102" s="248" t="e">
        <f>ROUND(G100*0.25,0)-4588+575</f>
        <v>#REF!</v>
      </c>
      <c r="H102" s="253" t="e">
        <f>E102*1000/H72</f>
        <v>#REF!</v>
      </c>
      <c r="I102" s="254" t="e">
        <f>F102*1000/H72</f>
        <v>#REF!</v>
      </c>
      <c r="J102" s="258" t="e">
        <f>G102*1000/H72</f>
        <v>#REF!</v>
      </c>
    </row>
    <row r="103" spans="1:10" ht="17.25" customHeight="1">
      <c r="A103" s="233" t="s">
        <v>340</v>
      </c>
      <c r="B103" s="234"/>
      <c r="C103" s="235"/>
      <c r="E103" s="256"/>
      <c r="G103" s="255"/>
      <c r="H103" s="255"/>
      <c r="I103" s="256"/>
      <c r="J103" s="257"/>
    </row>
    <row r="104" spans="1:10" ht="17.25" customHeight="1">
      <c r="A104" s="236" t="s">
        <v>339</v>
      </c>
      <c r="B104" s="237"/>
      <c r="C104" s="238"/>
      <c r="D104" s="226" t="s">
        <v>183</v>
      </c>
      <c r="E104" s="256"/>
      <c r="F104" s="248" t="e">
        <f>ROUND(G104*1.04,0)</f>
        <v>#REF!</v>
      </c>
      <c r="G104" s="253" t="e">
        <f>N377-109045+17061+5886</f>
        <v>#REF!</v>
      </c>
      <c r="H104" s="253" t="e">
        <f>E104*1000/H72</f>
        <v>#REF!</v>
      </c>
      <c r="I104" s="254" t="e">
        <f>F104*1000/H72</f>
        <v>#REF!</v>
      </c>
      <c r="J104" s="258" t="e">
        <f>G104*1000/H72</f>
        <v>#REF!</v>
      </c>
    </row>
    <row r="105" spans="1:10" ht="17.25" customHeight="1">
      <c r="A105" s="250" t="s">
        <v>182</v>
      </c>
      <c r="B105" s="251"/>
      <c r="C105" s="252"/>
      <c r="D105" s="243"/>
      <c r="E105" s="229"/>
      <c r="F105" s="244"/>
      <c r="G105" s="229"/>
      <c r="H105" s="230"/>
      <c r="I105" s="256"/>
      <c r="J105" s="256"/>
    </row>
    <row r="106" spans="1:10" ht="17.25" customHeight="1">
      <c r="A106" s="236" t="s">
        <v>232</v>
      </c>
      <c r="B106" s="237"/>
      <c r="C106" s="238"/>
      <c r="D106" s="253" t="s">
        <v>476</v>
      </c>
      <c r="E106" s="254">
        <f>E97+E100+E102+E104</f>
        <v>0</v>
      </c>
      <c r="F106" s="254" t="e">
        <f>F97+F100+F102+F104</f>
        <v>#REF!</v>
      </c>
      <c r="G106" s="254" t="e">
        <f>G97+G100+G102+G104</f>
        <v>#REF!</v>
      </c>
      <c r="H106" s="254" t="e">
        <f>E106*1000/H72</f>
        <v>#REF!</v>
      </c>
      <c r="I106" s="254" t="e">
        <f>F106*1000/H72</f>
        <v>#REF!</v>
      </c>
      <c r="J106" s="254" t="e">
        <f>G106*1000/H72</f>
        <v>#REF!</v>
      </c>
    </row>
    <row r="107" spans="1:10" ht="17.25" customHeight="1">
      <c r="A107" s="233"/>
      <c r="B107" s="234"/>
      <c r="C107" s="235"/>
      <c r="D107" s="243"/>
      <c r="E107" s="229"/>
      <c r="F107" s="229"/>
      <c r="G107" s="229"/>
      <c r="H107" s="245"/>
      <c r="I107" s="256"/>
      <c r="J107" s="256"/>
    </row>
    <row r="108" spans="1:10" ht="17.25" customHeight="1">
      <c r="A108" s="233"/>
      <c r="B108" s="234"/>
      <c r="C108" s="235"/>
      <c r="D108" s="253"/>
      <c r="E108" s="254"/>
      <c r="F108" s="254"/>
      <c r="G108" s="254"/>
      <c r="H108" s="258"/>
      <c r="I108" s="254" t="e">
        <f>F108*1000/H72</f>
        <v>#REF!</v>
      </c>
      <c r="J108" s="254" t="e">
        <f>G108*1000/I72</f>
        <v>#DIV/0!</v>
      </c>
    </row>
    <row r="109" spans="1:10" ht="17.25" customHeight="1">
      <c r="A109" s="250" t="s">
        <v>475</v>
      </c>
      <c r="B109" s="251"/>
      <c r="C109" s="252"/>
      <c r="E109" s="256"/>
      <c r="G109" s="256"/>
      <c r="I109" s="256"/>
      <c r="J109" s="256"/>
    </row>
    <row r="110" spans="1:10" ht="17.25" customHeight="1">
      <c r="A110" s="233" t="s">
        <v>330</v>
      </c>
      <c r="B110" s="234"/>
      <c r="C110" s="235"/>
      <c r="D110" s="226" t="s">
        <v>329</v>
      </c>
      <c r="E110" s="256">
        <f>E95+E106</f>
        <v>0</v>
      </c>
      <c r="F110" s="255" t="e">
        <f>F95+F106+F108</f>
        <v>#REF!</v>
      </c>
      <c r="G110" s="254" t="e">
        <f>G95+G106+G108</f>
        <v>#REF!</v>
      </c>
      <c r="H110" s="257" t="e">
        <f>E110*1000/H72</f>
        <v>#REF!</v>
      </c>
      <c r="I110" s="256" t="e">
        <f>F110*1000/H72</f>
        <v>#REF!</v>
      </c>
      <c r="J110" s="256" t="e">
        <f>G110*1000/H72</f>
        <v>#REF!</v>
      </c>
    </row>
    <row r="111" spans="1:10" ht="17.25" customHeight="1">
      <c r="A111" s="250" t="s">
        <v>328</v>
      </c>
      <c r="B111" s="251"/>
      <c r="C111" s="252"/>
      <c r="D111" s="243"/>
      <c r="E111" s="229"/>
      <c r="F111" s="244"/>
      <c r="G111" s="229"/>
      <c r="H111" s="243"/>
      <c r="I111" s="229"/>
      <c r="J111" s="245"/>
    </row>
    <row r="112" spans="1:10" ht="17.25" customHeight="1">
      <c r="A112" s="236" t="s">
        <v>207</v>
      </c>
      <c r="B112" s="237"/>
      <c r="C112" s="238"/>
      <c r="D112" s="253" t="s">
        <v>354</v>
      </c>
      <c r="E112" s="254"/>
      <c r="F112" s="259" t="e">
        <f>'Вспом-1'!D10</f>
        <v>#REF!</v>
      </c>
      <c r="G112" s="254" t="e">
        <f>'Вспом-1'!E10</f>
        <v>#REF!</v>
      </c>
      <c r="H112" s="253" t="e">
        <f>E112*1000/H72</f>
        <v>#REF!</v>
      </c>
      <c r="I112" s="254" t="e">
        <f>F112*1000/H72</f>
        <v>#REF!</v>
      </c>
      <c r="J112" s="258" t="e">
        <f>G112*1000/H72</f>
        <v>#REF!</v>
      </c>
    </row>
    <row r="113" spans="1:10">
      <c r="A113" s="234"/>
      <c r="B113" s="234"/>
      <c r="C113" s="234"/>
      <c r="D113" s="230"/>
      <c r="E113" s="230"/>
      <c r="F113" s="260" t="e">
        <f>'Вспом-1'!G10-'73-ХЛ'!F110</f>
        <v>#REF!</v>
      </c>
      <c r="G113" s="260" t="e">
        <f>#REF!-G110</f>
        <v>#REF!</v>
      </c>
      <c r="H113" s="230"/>
      <c r="I113" s="230"/>
      <c r="J113" s="230"/>
    </row>
    <row r="114" spans="1:10">
      <c r="A114" s="234"/>
      <c r="B114" s="234"/>
      <c r="C114" s="234"/>
      <c r="D114" s="230"/>
      <c r="E114" s="230"/>
      <c r="F114" s="230"/>
      <c r="G114" s="261"/>
      <c r="H114" s="230"/>
      <c r="I114" s="230"/>
      <c r="J114" s="230"/>
    </row>
    <row r="115" spans="1:10">
      <c r="A115" s="234"/>
      <c r="B115" s="234"/>
      <c r="C115" s="234"/>
      <c r="D115" s="230"/>
      <c r="E115" s="230"/>
      <c r="F115" s="230"/>
      <c r="G115" s="230"/>
      <c r="H115" s="230"/>
      <c r="I115" s="230"/>
      <c r="J115" s="230"/>
    </row>
    <row r="116" spans="1:10">
      <c r="A116" s="234"/>
      <c r="B116" s="234"/>
      <c r="C116" s="234"/>
      <c r="D116" s="230"/>
      <c r="E116" s="230"/>
      <c r="F116" s="230"/>
      <c r="G116" s="230"/>
      <c r="H116" s="230"/>
      <c r="I116" s="230"/>
      <c r="J116" s="230"/>
    </row>
    <row r="117" spans="1:10">
      <c r="A117" s="234"/>
      <c r="B117" s="234"/>
      <c r="C117" s="234"/>
      <c r="D117" s="230"/>
      <c r="E117" s="230"/>
      <c r="F117" s="230"/>
      <c r="G117" s="230"/>
      <c r="H117" s="230"/>
      <c r="I117" s="230"/>
      <c r="J117" s="230"/>
    </row>
    <row r="118" spans="1:10">
      <c r="A118" s="234"/>
      <c r="B118" s="234"/>
      <c r="C118" s="234"/>
      <c r="D118" s="230"/>
      <c r="E118" s="230"/>
      <c r="F118" s="230"/>
      <c r="G118" s="230"/>
      <c r="H118" s="230"/>
      <c r="I118" s="230"/>
      <c r="J118" s="230"/>
    </row>
    <row r="119" spans="1:10">
      <c r="A119" s="234"/>
      <c r="B119" s="234"/>
      <c r="C119" s="234"/>
      <c r="D119" s="230"/>
      <c r="E119" s="230"/>
      <c r="F119" s="230"/>
      <c r="G119" s="230"/>
      <c r="H119" s="230"/>
      <c r="I119" s="230"/>
      <c r="J119" s="230"/>
    </row>
    <row r="120" spans="1:10">
      <c r="A120" s="234"/>
      <c r="B120" s="234"/>
      <c r="C120" s="234"/>
      <c r="D120" s="230"/>
      <c r="E120" s="230"/>
      <c r="F120" s="230"/>
      <c r="G120" s="230"/>
      <c r="H120" s="230"/>
      <c r="I120" s="230"/>
      <c r="J120" s="230"/>
    </row>
    <row r="121" spans="1:10">
      <c r="A121" s="234"/>
      <c r="B121" s="234"/>
      <c r="C121" s="234"/>
      <c r="D121" s="230"/>
      <c r="E121" s="230"/>
      <c r="F121" s="230"/>
      <c r="G121" s="230"/>
      <c r="H121" s="230"/>
      <c r="I121" s="230"/>
      <c r="J121" s="230"/>
    </row>
    <row r="122" spans="1:10">
      <c r="A122" s="234"/>
      <c r="B122" s="234"/>
      <c r="C122" s="234"/>
      <c r="D122" s="230"/>
      <c r="E122" s="230"/>
      <c r="F122" s="230"/>
      <c r="G122" s="230"/>
      <c r="H122" s="230"/>
      <c r="I122" s="230"/>
      <c r="J122" s="230"/>
    </row>
    <row r="123" spans="1:10">
      <c r="A123" s="234"/>
      <c r="B123" s="234"/>
      <c r="C123" s="234"/>
      <c r="D123" s="230"/>
      <c r="E123" s="230"/>
      <c r="F123" s="230"/>
      <c r="G123" s="230"/>
      <c r="H123" s="230"/>
      <c r="I123" s="230"/>
      <c r="J123" s="230"/>
    </row>
    <row r="124" spans="1:10">
      <c r="A124" s="234"/>
      <c r="B124" s="234"/>
      <c r="C124" s="234"/>
      <c r="D124" s="230"/>
      <c r="E124" s="230"/>
      <c r="F124" s="230"/>
      <c r="G124" s="230"/>
      <c r="H124" s="230"/>
      <c r="I124" s="230"/>
      <c r="J124" s="230"/>
    </row>
    <row r="125" spans="1:10">
      <c r="A125" s="234"/>
      <c r="B125" s="234"/>
      <c r="C125" s="234"/>
      <c r="D125" s="230"/>
      <c r="E125" s="230"/>
      <c r="F125" s="230"/>
      <c r="G125" s="230"/>
      <c r="H125" s="230"/>
      <c r="I125" s="230"/>
      <c r="J125" s="230"/>
    </row>
    <row r="126" spans="1:10">
      <c r="A126" s="234"/>
      <c r="B126" s="234"/>
      <c r="C126" s="234"/>
      <c r="D126" s="230"/>
      <c r="E126" s="230"/>
      <c r="F126" s="230"/>
      <c r="G126" s="230"/>
      <c r="H126" s="230"/>
      <c r="I126" s="230"/>
      <c r="J126" s="230"/>
    </row>
    <row r="127" spans="1:10">
      <c r="A127" s="234"/>
      <c r="B127" s="234"/>
      <c r="C127" s="234"/>
      <c r="D127" s="230"/>
      <c r="E127" s="230"/>
      <c r="F127" s="230"/>
      <c r="G127" s="230"/>
      <c r="H127" s="230"/>
      <c r="I127" s="230"/>
      <c r="J127" s="230"/>
    </row>
    <row r="128" spans="1:10">
      <c r="A128" s="234"/>
      <c r="B128" s="234"/>
      <c r="C128" s="234"/>
      <c r="D128" s="230"/>
      <c r="E128" s="230"/>
      <c r="F128" s="230"/>
      <c r="G128" s="230"/>
      <c r="H128" s="230"/>
      <c r="I128" s="230"/>
      <c r="J128" s="230"/>
    </row>
    <row r="129" spans="1:19" ht="17.25" customHeight="1">
      <c r="A129" s="205" t="s">
        <v>317</v>
      </c>
      <c r="E129" s="226" t="s">
        <v>15</v>
      </c>
      <c r="H129" s="226" t="e">
        <f>#REF!</f>
        <v>#REF!</v>
      </c>
      <c r="J129" s="226"/>
    </row>
    <row r="130" spans="1:19" ht="17.25" customHeight="1">
      <c r="E130" s="226" t="s">
        <v>227</v>
      </c>
      <c r="H130" s="226">
        <f>J136</f>
        <v>2159</v>
      </c>
      <c r="J130" s="226"/>
    </row>
    <row r="131" spans="1:19" ht="17.25" customHeight="1">
      <c r="E131" s="226" t="s">
        <v>226</v>
      </c>
      <c r="J131" s="226"/>
    </row>
    <row r="132" spans="1:19" ht="17.25" customHeight="1">
      <c r="E132" s="271" t="s">
        <v>498</v>
      </c>
      <c r="F132" s="271" t="s">
        <v>497</v>
      </c>
      <c r="G132" s="271" t="s">
        <v>496</v>
      </c>
      <c r="H132" s="271" t="s">
        <v>495</v>
      </c>
      <c r="I132" s="271" t="s">
        <v>494</v>
      </c>
      <c r="J132" s="271" t="s">
        <v>168</v>
      </c>
    </row>
    <row r="133" spans="1:19" ht="17.25" customHeight="1">
      <c r="D133" s="226" t="s">
        <v>493</v>
      </c>
      <c r="E133" s="271">
        <v>482</v>
      </c>
      <c r="F133" s="271">
        <v>250</v>
      </c>
      <c r="G133" s="271"/>
      <c r="H133" s="271"/>
      <c r="I133" s="271"/>
      <c r="J133" s="271">
        <f>E133+F133+G133+H133+I133</f>
        <v>732</v>
      </c>
      <c r="K133" s="226">
        <f>E133*2056.79+F133*1880.06</f>
        <v>1461387.78</v>
      </c>
    </row>
    <row r="134" spans="1:19" ht="17.25" customHeight="1">
      <c r="D134" s="226" t="s">
        <v>56</v>
      </c>
      <c r="E134" s="271">
        <v>1427</v>
      </c>
      <c r="F134" s="271"/>
      <c r="G134" s="271"/>
      <c r="H134" s="271"/>
      <c r="I134" s="271"/>
      <c r="J134" s="271">
        <f>E134+F134+G134+H134+I134</f>
        <v>1427</v>
      </c>
      <c r="K134" s="226">
        <f>E134*2004.15</f>
        <v>2859922.0500000003</v>
      </c>
    </row>
    <row r="135" spans="1:19" ht="17.25" customHeight="1">
      <c r="D135" s="226" t="s">
        <v>201</v>
      </c>
      <c r="E135" s="271"/>
      <c r="F135" s="271"/>
      <c r="G135" s="271"/>
      <c r="H135" s="271"/>
      <c r="I135" s="271"/>
      <c r="J135" s="271">
        <f>E135+F135+G135+H135+I135</f>
        <v>0</v>
      </c>
      <c r="K135" s="226">
        <v>0</v>
      </c>
    </row>
    <row r="136" spans="1:19" ht="17.25" customHeight="1">
      <c r="D136" s="226" t="s">
        <v>168</v>
      </c>
      <c r="E136" s="229">
        <f t="shared" ref="E136:J136" si="1">E133+E134+E135</f>
        <v>1909</v>
      </c>
      <c r="F136" s="229">
        <f t="shared" si="1"/>
        <v>250</v>
      </c>
      <c r="G136" s="229">
        <f t="shared" si="1"/>
        <v>0</v>
      </c>
      <c r="H136" s="229">
        <f t="shared" si="1"/>
        <v>0</v>
      </c>
      <c r="I136" s="229">
        <f t="shared" si="1"/>
        <v>0</v>
      </c>
      <c r="J136" s="229">
        <f t="shared" si="1"/>
        <v>2159</v>
      </c>
      <c r="K136" s="226">
        <f>SUM(K133:K135)</f>
        <v>4321309.83</v>
      </c>
      <c r="N136" s="230"/>
      <c r="O136" s="230"/>
      <c r="P136" s="230"/>
      <c r="Q136" s="230"/>
      <c r="R136" s="230"/>
      <c r="S136" s="230"/>
    </row>
    <row r="137" spans="1:19" ht="17.25" customHeight="1">
      <c r="A137" s="498" t="s">
        <v>162</v>
      </c>
      <c r="B137" s="499"/>
      <c r="C137" s="500"/>
      <c r="D137" s="231" t="s">
        <v>161</v>
      </c>
      <c r="E137" s="490" t="s">
        <v>243</v>
      </c>
      <c r="F137" s="490"/>
      <c r="G137" s="491"/>
      <c r="H137" s="489" t="s">
        <v>347</v>
      </c>
      <c r="I137" s="490"/>
      <c r="J137" s="491"/>
    </row>
    <row r="138" spans="1:19" ht="17.25" customHeight="1">
      <c r="A138" s="492" t="s">
        <v>156</v>
      </c>
      <c r="B138" s="493"/>
      <c r="C138" s="494"/>
      <c r="D138" s="232" t="s">
        <v>463</v>
      </c>
      <c r="E138" s="222" t="s">
        <v>462</v>
      </c>
      <c r="F138" s="231" t="s">
        <v>191</v>
      </c>
      <c r="G138" s="222" t="s">
        <v>193</v>
      </c>
      <c r="H138" s="231" t="s">
        <v>192</v>
      </c>
      <c r="I138" s="232" t="s">
        <v>191</v>
      </c>
      <c r="J138" s="231" t="s">
        <v>190</v>
      </c>
    </row>
    <row r="139" spans="1:19" ht="17.25" customHeight="1">
      <c r="A139" s="233"/>
      <c r="B139" s="234"/>
      <c r="C139" s="235"/>
      <c r="D139" s="232" t="s">
        <v>116</v>
      </c>
      <c r="E139" s="222" t="s">
        <v>189</v>
      </c>
      <c r="F139" s="232" t="s">
        <v>402</v>
      </c>
      <c r="G139" s="222" t="s">
        <v>234</v>
      </c>
      <c r="H139" s="232" t="s">
        <v>459</v>
      </c>
      <c r="I139" s="232" t="s">
        <v>167</v>
      </c>
      <c r="J139" s="232" t="s">
        <v>167</v>
      </c>
    </row>
    <row r="140" spans="1:19" ht="17.25" customHeight="1">
      <c r="A140" s="233"/>
      <c r="B140" s="234"/>
      <c r="C140" s="235"/>
      <c r="D140" s="232"/>
      <c r="E140" s="222" t="s">
        <v>458</v>
      </c>
      <c r="F140" s="232" t="s">
        <v>457</v>
      </c>
      <c r="G140" s="222" t="s">
        <v>64</v>
      </c>
      <c r="H140" s="232" t="s">
        <v>167</v>
      </c>
      <c r="I140" s="222"/>
      <c r="J140" s="232"/>
    </row>
    <row r="141" spans="1:19" ht="17.25" customHeight="1">
      <c r="A141" s="233"/>
      <c r="B141" s="234"/>
      <c r="C141" s="235"/>
      <c r="D141" s="232"/>
      <c r="E141" s="222" t="s">
        <v>174</v>
      </c>
      <c r="F141" s="232" t="s">
        <v>174</v>
      </c>
      <c r="G141" s="222" t="s">
        <v>173</v>
      </c>
      <c r="H141" s="232"/>
      <c r="I141" s="222"/>
      <c r="J141" s="232"/>
    </row>
    <row r="142" spans="1:19" ht="17.25" customHeight="1">
      <c r="A142" s="233"/>
      <c r="B142" s="234"/>
      <c r="C142" s="235"/>
      <c r="D142" s="232"/>
      <c r="E142" s="222" t="s">
        <v>172</v>
      </c>
      <c r="F142" s="232" t="s">
        <v>172</v>
      </c>
      <c r="G142" s="222" t="s">
        <v>171</v>
      </c>
      <c r="H142" s="232"/>
      <c r="I142" s="222"/>
      <c r="J142" s="232"/>
    </row>
    <row r="143" spans="1:19" ht="17.25" customHeight="1">
      <c r="A143" s="236"/>
      <c r="B143" s="237"/>
      <c r="C143" s="238"/>
      <c r="D143" s="239"/>
      <c r="E143" s="240" t="s">
        <v>405</v>
      </c>
      <c r="F143" s="239" t="s">
        <v>405</v>
      </c>
      <c r="G143" s="240"/>
      <c r="H143" s="239"/>
      <c r="I143" s="240"/>
      <c r="J143" s="239"/>
    </row>
    <row r="144" spans="1:19" ht="17.25" customHeight="1">
      <c r="A144" s="497"/>
      <c r="B144" s="497"/>
      <c r="C144" s="497"/>
      <c r="D144" s="221"/>
      <c r="E144" s="221">
        <v>1</v>
      </c>
      <c r="F144" s="221">
        <v>2</v>
      </c>
      <c r="G144" s="221">
        <v>3</v>
      </c>
      <c r="H144" s="221">
        <v>4</v>
      </c>
      <c r="I144" s="221">
        <v>5</v>
      </c>
      <c r="J144" s="221">
        <v>6</v>
      </c>
    </row>
    <row r="145" spans="1:11" ht="15.75" customHeight="1">
      <c r="A145" s="120" t="s">
        <v>465</v>
      </c>
      <c r="B145" s="241"/>
      <c r="C145" s="242"/>
      <c r="D145" s="243"/>
      <c r="E145" s="229"/>
      <c r="F145" s="244"/>
      <c r="G145" s="229"/>
      <c r="H145" s="244"/>
      <c r="I145" s="229"/>
      <c r="J145" s="245"/>
    </row>
    <row r="146" spans="1:11" ht="15.75" customHeight="1">
      <c r="A146" s="246" t="s">
        <v>148</v>
      </c>
      <c r="B146" s="241"/>
      <c r="C146" s="242"/>
      <c r="D146" s="247" t="s">
        <v>43</v>
      </c>
      <c r="E146" s="271"/>
      <c r="F146" s="248">
        <f>ROUND(G146*1.04,0)-158431</f>
        <v>4006485</v>
      </c>
      <c r="G146" s="271">
        <f>ROUND(K136,0)-458118+141535</f>
        <v>4004727</v>
      </c>
      <c r="H146" s="248" t="e">
        <f>E146*1000/H129</f>
        <v>#REF!</v>
      </c>
      <c r="I146" s="271" t="e">
        <f>F146*1000/H129</f>
        <v>#REF!</v>
      </c>
      <c r="J146" s="249" t="e">
        <f>G146*1000/H129</f>
        <v>#REF!</v>
      </c>
      <c r="K146" s="226">
        <f>G146/J136</f>
        <v>1854.8990273274665</v>
      </c>
    </row>
    <row r="147" spans="1:11" ht="15.75" customHeight="1">
      <c r="A147" s="246" t="s">
        <v>42</v>
      </c>
      <c r="B147" s="241"/>
      <c r="C147" s="242"/>
      <c r="D147" s="247" t="s">
        <v>25</v>
      </c>
      <c r="E147" s="271"/>
      <c r="F147" s="248">
        <f>ROUND(G147*1.04,0)</f>
        <v>98303</v>
      </c>
      <c r="G147" s="271">
        <v>94522</v>
      </c>
      <c r="H147" s="247" t="e">
        <f>E147*1000/H129</f>
        <v>#REF!</v>
      </c>
      <c r="I147" s="271" t="e">
        <f>F147*1000/H129</f>
        <v>#REF!</v>
      </c>
      <c r="J147" s="249" t="e">
        <f>G147*1000/H129</f>
        <v>#REF!</v>
      </c>
    </row>
    <row r="148" spans="1:11" ht="15.75" customHeight="1">
      <c r="A148" s="250" t="s">
        <v>24</v>
      </c>
      <c r="B148" s="251"/>
      <c r="C148" s="252"/>
      <c r="D148" s="243"/>
      <c r="E148" s="229"/>
      <c r="F148" s="244"/>
      <c r="G148" s="243"/>
      <c r="H148" s="243"/>
      <c r="I148" s="229"/>
      <c r="J148" s="245"/>
    </row>
    <row r="149" spans="1:11" ht="15.75" customHeight="1">
      <c r="A149" s="236" t="s">
        <v>372</v>
      </c>
      <c r="B149" s="237"/>
      <c r="C149" s="238"/>
      <c r="D149" s="253" t="s">
        <v>137</v>
      </c>
      <c r="E149" s="254"/>
      <c r="F149" s="248">
        <f>G149</f>
        <v>672090</v>
      </c>
      <c r="G149" s="271">
        <v>672090</v>
      </c>
      <c r="H149" s="255" t="e">
        <f>E149*1000/H129</f>
        <v>#REF!</v>
      </c>
      <c r="I149" s="256" t="e">
        <f>F149*1000/H129</f>
        <v>#REF!</v>
      </c>
      <c r="J149" s="257" t="e">
        <f>G149*1000/H129</f>
        <v>#REF!</v>
      </c>
    </row>
    <row r="150" spans="1:11" ht="15.75" customHeight="1">
      <c r="A150" s="250" t="s">
        <v>372</v>
      </c>
      <c r="B150" s="251"/>
      <c r="C150" s="252"/>
      <c r="E150" s="256"/>
      <c r="G150" s="255"/>
      <c r="H150" s="243"/>
      <c r="I150" s="229"/>
      <c r="J150" s="245"/>
    </row>
    <row r="151" spans="1:11" ht="15.75" customHeight="1">
      <c r="A151" s="233" t="s">
        <v>60</v>
      </c>
      <c r="B151" s="234"/>
      <c r="C151" s="235"/>
      <c r="E151" s="256"/>
      <c r="G151" s="255"/>
      <c r="H151" s="255"/>
      <c r="I151" s="256"/>
      <c r="J151" s="257"/>
    </row>
    <row r="152" spans="1:11" ht="19.5" customHeight="1">
      <c r="A152" s="236" t="s">
        <v>59</v>
      </c>
      <c r="B152" s="237"/>
      <c r="C152" s="238"/>
      <c r="D152" s="226" t="s">
        <v>29</v>
      </c>
      <c r="E152" s="256">
        <f>E146+E147-E149</f>
        <v>0</v>
      </c>
      <c r="F152" s="256">
        <f>F146+F147-F149</f>
        <v>3432698</v>
      </c>
      <c r="G152" s="255">
        <f>G146+G147-G149</f>
        <v>3427159</v>
      </c>
      <c r="H152" s="253" t="e">
        <f>E152*1000/H129</f>
        <v>#REF!</v>
      </c>
      <c r="I152" s="254" t="e">
        <f>F152*1000/H129</f>
        <v>#REF!</v>
      </c>
      <c r="J152" s="258" t="e">
        <f>G152*1000/H129</f>
        <v>#REF!</v>
      </c>
    </row>
    <row r="153" spans="1:11" ht="19.5" customHeight="1">
      <c r="A153" s="121" t="s">
        <v>28</v>
      </c>
      <c r="B153" s="122"/>
      <c r="C153" s="123"/>
      <c r="D153" s="247"/>
      <c r="E153" s="271"/>
      <c r="F153" s="248"/>
      <c r="G153" s="271"/>
      <c r="H153" s="259"/>
      <c r="I153" s="254"/>
      <c r="J153" s="258"/>
    </row>
    <row r="154" spans="1:11" ht="19.5" customHeight="1">
      <c r="A154" s="246" t="s">
        <v>27</v>
      </c>
      <c r="B154" s="241"/>
      <c r="C154" s="242"/>
      <c r="D154" s="247" t="s">
        <v>41</v>
      </c>
      <c r="E154" s="271"/>
      <c r="F154" s="248">
        <f>ROUND(G154*1.04,0)</f>
        <v>124615</v>
      </c>
      <c r="G154" s="271">
        <v>119822</v>
      </c>
      <c r="H154" s="244" t="e">
        <f>E154*1000/H129</f>
        <v>#REF!</v>
      </c>
      <c r="I154" s="229" t="e">
        <f>F154*1000/H129</f>
        <v>#REF!</v>
      </c>
      <c r="J154" s="245" t="e">
        <f>G154*1000/H129</f>
        <v>#REF!</v>
      </c>
    </row>
    <row r="155" spans="1:11" ht="19.5" customHeight="1">
      <c r="A155" s="250" t="s">
        <v>399</v>
      </c>
      <c r="B155" s="251"/>
      <c r="C155" s="252"/>
      <c r="E155" s="229"/>
      <c r="G155" s="243"/>
      <c r="H155" s="243"/>
      <c r="I155" s="229"/>
      <c r="J155" s="245"/>
    </row>
    <row r="156" spans="1:11" ht="18" customHeight="1">
      <c r="A156" s="233" t="s">
        <v>398</v>
      </c>
      <c r="B156" s="234"/>
      <c r="C156" s="235"/>
      <c r="E156" s="256"/>
      <c r="G156" s="255"/>
      <c r="H156" s="255"/>
      <c r="I156" s="256"/>
      <c r="J156" s="257"/>
    </row>
    <row r="157" spans="1:11" ht="18" customHeight="1">
      <c r="A157" s="236" t="s">
        <v>397</v>
      </c>
      <c r="B157" s="237"/>
      <c r="C157" s="238"/>
      <c r="D157" s="226" t="s">
        <v>346</v>
      </c>
      <c r="E157" s="256"/>
      <c r="F157" s="248">
        <f>ROUND(G157*1.04,0)</f>
        <v>125883</v>
      </c>
      <c r="G157" s="271">
        <v>121041</v>
      </c>
      <c r="H157" s="255" t="e">
        <f>E157*1000/H129</f>
        <v>#REF!</v>
      </c>
      <c r="I157" s="256" t="e">
        <f>F157*1000/H129</f>
        <v>#REF!</v>
      </c>
      <c r="J157" s="257" t="e">
        <f>G157*1000/H129</f>
        <v>#REF!</v>
      </c>
    </row>
    <row r="158" spans="1:11" ht="18" customHeight="1">
      <c r="A158" s="250" t="s">
        <v>343</v>
      </c>
      <c r="B158" s="251"/>
      <c r="C158" s="252"/>
      <c r="D158" s="243"/>
      <c r="E158" s="229"/>
      <c r="F158" s="244"/>
      <c r="G158" s="243"/>
      <c r="H158" s="243"/>
      <c r="I158" s="229"/>
      <c r="J158" s="245"/>
    </row>
    <row r="159" spans="1:11" ht="18" customHeight="1">
      <c r="A159" s="236" t="s">
        <v>342</v>
      </c>
      <c r="B159" s="237"/>
      <c r="C159" s="238"/>
      <c r="D159" s="253" t="s">
        <v>341</v>
      </c>
      <c r="E159" s="254"/>
      <c r="F159" s="248">
        <f>ROUND(G159*1.04,0)</f>
        <v>31470</v>
      </c>
      <c r="G159" s="248">
        <f>ROUND(G157*0.25,0)</f>
        <v>30260</v>
      </c>
      <c r="H159" s="253" t="e">
        <f>E159*1000/H129</f>
        <v>#REF!</v>
      </c>
      <c r="I159" s="254" t="e">
        <f>F159*1000/H129</f>
        <v>#REF!</v>
      </c>
      <c r="J159" s="258" t="e">
        <f>G159*1000/H129</f>
        <v>#REF!</v>
      </c>
    </row>
    <row r="160" spans="1:11" ht="18" customHeight="1">
      <c r="A160" s="233" t="s">
        <v>340</v>
      </c>
      <c r="B160" s="234"/>
      <c r="C160" s="235"/>
      <c r="E160" s="256"/>
      <c r="G160" s="255"/>
      <c r="H160" s="255"/>
      <c r="I160" s="256"/>
      <c r="J160" s="257"/>
    </row>
    <row r="161" spans="1:10" ht="18" customHeight="1">
      <c r="A161" s="236" t="s">
        <v>339</v>
      </c>
      <c r="B161" s="237"/>
      <c r="C161" s="238"/>
      <c r="D161" s="226" t="s">
        <v>183</v>
      </c>
      <c r="E161" s="256"/>
      <c r="F161" s="248">
        <f>ROUND(G161*1.04,0)</f>
        <v>62628</v>
      </c>
      <c r="G161" s="271">
        <v>60219</v>
      </c>
      <c r="H161" s="253" t="e">
        <f>E161*1000/H129</f>
        <v>#REF!</v>
      </c>
      <c r="I161" s="254" t="e">
        <f>F161*1000/H129</f>
        <v>#REF!</v>
      </c>
      <c r="J161" s="258" t="e">
        <f>G161*1000/H129</f>
        <v>#REF!</v>
      </c>
    </row>
    <row r="162" spans="1:10" ht="18" customHeight="1">
      <c r="A162" s="250" t="s">
        <v>182</v>
      </c>
      <c r="B162" s="251"/>
      <c r="C162" s="252"/>
      <c r="D162" s="243"/>
      <c r="E162" s="229"/>
      <c r="F162" s="244"/>
      <c r="G162" s="229"/>
      <c r="H162" s="230"/>
      <c r="I162" s="256"/>
      <c r="J162" s="256"/>
    </row>
    <row r="163" spans="1:10" ht="18" customHeight="1">
      <c r="A163" s="236" t="s">
        <v>232</v>
      </c>
      <c r="B163" s="237"/>
      <c r="C163" s="238"/>
      <c r="D163" s="253" t="s">
        <v>476</v>
      </c>
      <c r="E163" s="254">
        <f>E154+E157+E159+E161</f>
        <v>0</v>
      </c>
      <c r="F163" s="254">
        <f>F154+F157+F159+F161</f>
        <v>344596</v>
      </c>
      <c r="G163" s="254">
        <f>G154+G157+G159+G161</f>
        <v>331342</v>
      </c>
      <c r="H163" s="254" t="e">
        <f>E163*1000/H129</f>
        <v>#REF!</v>
      </c>
      <c r="I163" s="254" t="e">
        <f>F163*1000/H129</f>
        <v>#REF!</v>
      </c>
      <c r="J163" s="254" t="e">
        <f>G163*1000/H129</f>
        <v>#REF!</v>
      </c>
    </row>
    <row r="164" spans="1:10" ht="18" customHeight="1">
      <c r="A164" s="233"/>
      <c r="B164" s="234"/>
      <c r="C164" s="235"/>
      <c r="D164" s="230"/>
      <c r="E164" s="256"/>
      <c r="F164" s="230"/>
      <c r="G164" s="229"/>
      <c r="H164" s="230"/>
      <c r="I164" s="256"/>
      <c r="J164" s="256"/>
    </row>
    <row r="165" spans="1:10" ht="18" customHeight="1">
      <c r="A165" s="233"/>
      <c r="B165" s="234"/>
      <c r="C165" s="235"/>
      <c r="D165" s="230"/>
      <c r="E165" s="256"/>
      <c r="F165" s="230"/>
      <c r="G165" s="256"/>
      <c r="H165" s="230"/>
      <c r="I165" s="254" t="e">
        <f>F165*1000/H129</f>
        <v>#REF!</v>
      </c>
      <c r="J165" s="254" t="e">
        <f>G165*1000/I129</f>
        <v>#DIV/0!</v>
      </c>
    </row>
    <row r="166" spans="1:10" ht="18" customHeight="1">
      <c r="A166" s="250" t="s">
        <v>475</v>
      </c>
      <c r="B166" s="251"/>
      <c r="C166" s="252"/>
      <c r="E166" s="256"/>
      <c r="G166" s="256"/>
      <c r="I166" s="256"/>
      <c r="J166" s="256"/>
    </row>
    <row r="167" spans="1:10" ht="18" customHeight="1">
      <c r="A167" s="233" t="s">
        <v>330</v>
      </c>
      <c r="B167" s="234"/>
      <c r="C167" s="235"/>
      <c r="D167" s="226" t="s">
        <v>329</v>
      </c>
      <c r="E167" s="256">
        <f>E152+E163</f>
        <v>0</v>
      </c>
      <c r="F167" s="255">
        <f>F152+F163+F165</f>
        <v>3777294</v>
      </c>
      <c r="G167" s="254">
        <f>G152+G163+G165</f>
        <v>3758501</v>
      </c>
      <c r="H167" s="257" t="e">
        <f>E167*1000/H129</f>
        <v>#REF!</v>
      </c>
      <c r="I167" s="256" t="e">
        <f>F167*1000/H129</f>
        <v>#REF!</v>
      </c>
      <c r="J167" s="256" t="e">
        <f>G167*1000/H129</f>
        <v>#REF!</v>
      </c>
    </row>
    <row r="168" spans="1:10" ht="18" customHeight="1">
      <c r="A168" s="250" t="s">
        <v>328</v>
      </c>
      <c r="B168" s="251"/>
      <c r="C168" s="252"/>
      <c r="D168" s="243"/>
      <c r="E168" s="229"/>
      <c r="F168" s="244"/>
      <c r="G168" s="229"/>
      <c r="H168" s="243"/>
      <c r="I168" s="229"/>
      <c r="J168" s="245"/>
    </row>
    <row r="169" spans="1:10" ht="18" customHeight="1">
      <c r="A169" s="236" t="s">
        <v>207</v>
      </c>
      <c r="B169" s="237"/>
      <c r="C169" s="238"/>
      <c r="D169" s="253" t="s">
        <v>354</v>
      </c>
      <c r="E169" s="254"/>
      <c r="F169" s="259" t="e">
        <f>'Вспом-1'!D11</f>
        <v>#REF!</v>
      </c>
      <c r="G169" s="259" t="e">
        <f>'Вспом-1'!E11</f>
        <v>#REF!</v>
      </c>
      <c r="H169" s="253" t="e">
        <f>E169*1000/H129</f>
        <v>#REF!</v>
      </c>
      <c r="I169" s="254" t="e">
        <f>F169*1000/H129</f>
        <v>#REF!</v>
      </c>
      <c r="J169" s="258" t="e">
        <f>G169*1000/H129</f>
        <v>#REF!</v>
      </c>
    </row>
    <row r="170" spans="1:10" ht="15.75" customHeight="1">
      <c r="A170" s="234"/>
      <c r="B170" s="234"/>
      <c r="C170" s="234"/>
      <c r="D170" s="230"/>
      <c r="E170" s="230"/>
      <c r="F170" s="260" t="e">
        <f>'Вспом-1'!G11-F167</f>
        <v>#REF!</v>
      </c>
      <c r="G170" s="260" t="e">
        <f>#REF!-G167</f>
        <v>#REF!</v>
      </c>
      <c r="H170" s="230"/>
      <c r="I170" s="230"/>
      <c r="J170" s="230"/>
    </row>
    <row r="171" spans="1:10" ht="15.75" customHeight="1">
      <c r="A171" s="234"/>
      <c r="B171" s="234"/>
      <c r="C171" s="234"/>
      <c r="D171" s="230"/>
      <c r="E171" s="230"/>
      <c r="F171" s="230"/>
      <c r="G171" s="230"/>
      <c r="H171" s="230"/>
      <c r="I171" s="230"/>
      <c r="J171" s="230"/>
    </row>
    <row r="172" spans="1:10" ht="15.75" customHeight="1">
      <c r="A172" s="234"/>
      <c r="B172" s="234"/>
      <c r="C172" s="234"/>
      <c r="D172" s="230"/>
      <c r="E172" s="230"/>
      <c r="F172" s="230"/>
      <c r="G172" s="230"/>
      <c r="H172" s="230"/>
      <c r="I172" s="230"/>
      <c r="J172" s="230"/>
    </row>
    <row r="173" spans="1:10" ht="15.75" customHeight="1">
      <c r="A173" s="234"/>
      <c r="B173" s="234"/>
      <c r="C173" s="234"/>
      <c r="D173" s="230"/>
      <c r="E173" s="230"/>
      <c r="F173" s="230"/>
      <c r="G173" s="230"/>
      <c r="H173" s="230"/>
      <c r="I173" s="230"/>
      <c r="J173" s="230"/>
    </row>
    <row r="174" spans="1:10" ht="15.75" customHeight="1">
      <c r="A174" s="234"/>
      <c r="B174" s="234"/>
      <c r="C174" s="234"/>
      <c r="D174" s="230"/>
      <c r="E174" s="230"/>
      <c r="F174" s="230"/>
      <c r="G174" s="230"/>
      <c r="H174" s="230"/>
      <c r="I174" s="230"/>
      <c r="J174" s="230"/>
    </row>
    <row r="175" spans="1:10" ht="15.75" customHeight="1">
      <c r="A175" s="234"/>
      <c r="B175" s="234"/>
      <c r="C175" s="234"/>
      <c r="D175" s="230"/>
      <c r="E175" s="230"/>
      <c r="F175" s="230"/>
      <c r="G175" s="230"/>
      <c r="H175" s="230"/>
      <c r="I175" s="230"/>
      <c r="J175" s="230"/>
    </row>
    <row r="176" spans="1:10" ht="15.75" customHeight="1">
      <c r="A176" s="234"/>
      <c r="B176" s="234"/>
      <c r="C176" s="234"/>
      <c r="D176" s="230"/>
      <c r="E176" s="230"/>
      <c r="F176" s="230"/>
      <c r="G176" s="230"/>
      <c r="H176" s="230"/>
      <c r="I176" s="230"/>
      <c r="J176" s="230"/>
    </row>
    <row r="177" spans="1:19" ht="15.75" customHeight="1">
      <c r="A177" s="234"/>
      <c r="B177" s="234"/>
      <c r="C177" s="234"/>
      <c r="D177" s="230"/>
      <c r="E177" s="230"/>
      <c r="F177" s="230"/>
      <c r="G177" s="230"/>
      <c r="H177" s="230"/>
      <c r="I177" s="230"/>
      <c r="J177" s="230"/>
    </row>
    <row r="178" spans="1:19">
      <c r="J178" s="226"/>
    </row>
    <row r="179" spans="1:19">
      <c r="J179" s="226"/>
    </row>
    <row r="180" spans="1:19">
      <c r="J180" s="226"/>
    </row>
    <row r="181" spans="1:19">
      <c r="J181" s="226"/>
    </row>
    <row r="182" spans="1:19" ht="17.25" customHeight="1">
      <c r="A182" s="205" t="s">
        <v>317</v>
      </c>
      <c r="E182" s="226" t="s">
        <v>145</v>
      </c>
      <c r="H182" s="226" t="e">
        <f>#REF!</f>
        <v>#REF!</v>
      </c>
      <c r="J182" s="226"/>
    </row>
    <row r="183" spans="1:19" ht="17.25" customHeight="1">
      <c r="E183" s="226" t="s">
        <v>227</v>
      </c>
      <c r="H183" s="226">
        <f>J189</f>
        <v>174</v>
      </c>
      <c r="J183" s="226"/>
    </row>
    <row r="184" spans="1:19" ht="17.25" customHeight="1">
      <c r="E184" s="226" t="s">
        <v>226</v>
      </c>
      <c r="J184" s="226"/>
    </row>
    <row r="185" spans="1:19" ht="17.25" customHeight="1">
      <c r="E185" s="271" t="s">
        <v>498</v>
      </c>
      <c r="F185" s="271" t="s">
        <v>497</v>
      </c>
      <c r="G185" s="271" t="s">
        <v>496</v>
      </c>
      <c r="H185" s="271" t="s">
        <v>495</v>
      </c>
      <c r="I185" s="271" t="s">
        <v>494</v>
      </c>
      <c r="J185" s="271" t="s">
        <v>168</v>
      </c>
    </row>
    <row r="186" spans="1:19" ht="17.25" customHeight="1">
      <c r="D186" s="226" t="s">
        <v>493</v>
      </c>
      <c r="E186" s="271"/>
      <c r="F186" s="271">
        <v>174</v>
      </c>
      <c r="G186" s="271"/>
      <c r="H186" s="271"/>
      <c r="I186" s="271"/>
      <c r="J186" s="271">
        <f>E186+F186+G186+H186+I186</f>
        <v>174</v>
      </c>
      <c r="K186" s="226">
        <f>E186*2056.79+F186*1880.06</f>
        <v>327130.44</v>
      </c>
      <c r="L186" s="320"/>
    </row>
    <row r="187" spans="1:19" ht="17.25" customHeight="1">
      <c r="D187" s="226" t="s">
        <v>56</v>
      </c>
      <c r="E187" s="271"/>
      <c r="F187" s="271"/>
      <c r="G187" s="271"/>
      <c r="H187" s="271"/>
      <c r="I187" s="271"/>
      <c r="J187" s="271">
        <f>E187+F187+G187+H187+I187</f>
        <v>0</v>
      </c>
      <c r="K187" s="226">
        <f>E187*1281.28</f>
        <v>0</v>
      </c>
    </row>
    <row r="188" spans="1:19" ht="17.25" customHeight="1">
      <c r="D188" s="226" t="s">
        <v>201</v>
      </c>
      <c r="E188" s="271"/>
      <c r="F188" s="271"/>
      <c r="G188" s="271"/>
      <c r="H188" s="271"/>
      <c r="I188" s="271"/>
      <c r="J188" s="271">
        <f>E188+F188+G188+H188+I188</f>
        <v>0</v>
      </c>
      <c r="K188" s="226">
        <f>I188*509.5</f>
        <v>0</v>
      </c>
    </row>
    <row r="189" spans="1:19" ht="17.25" customHeight="1">
      <c r="D189" s="226" t="s">
        <v>168</v>
      </c>
      <c r="E189" s="229">
        <f t="shared" ref="E189:J189" si="2">E186+E187+E188</f>
        <v>0</v>
      </c>
      <c r="F189" s="229">
        <f t="shared" si="2"/>
        <v>174</v>
      </c>
      <c r="G189" s="229">
        <f t="shared" si="2"/>
        <v>0</v>
      </c>
      <c r="H189" s="229">
        <f t="shared" si="2"/>
        <v>0</v>
      </c>
      <c r="I189" s="229">
        <f t="shared" si="2"/>
        <v>0</v>
      </c>
      <c r="J189" s="229">
        <f t="shared" si="2"/>
        <v>174</v>
      </c>
      <c r="K189" s="226">
        <f>SUM(K186:K188)</f>
        <v>327130.44</v>
      </c>
      <c r="N189" s="230"/>
      <c r="O189" s="230"/>
      <c r="P189" s="230"/>
      <c r="Q189" s="230"/>
      <c r="R189" s="230"/>
      <c r="S189" s="230"/>
    </row>
    <row r="190" spans="1:19" ht="17.25" customHeight="1">
      <c r="A190" s="498" t="s">
        <v>162</v>
      </c>
      <c r="B190" s="499"/>
      <c r="C190" s="500"/>
      <c r="D190" s="231" t="s">
        <v>161</v>
      </c>
      <c r="E190" s="490" t="s">
        <v>243</v>
      </c>
      <c r="F190" s="490"/>
      <c r="G190" s="491"/>
      <c r="H190" s="489" t="s">
        <v>347</v>
      </c>
      <c r="I190" s="490"/>
      <c r="J190" s="491"/>
    </row>
    <row r="191" spans="1:19" ht="17.25" customHeight="1">
      <c r="A191" s="492" t="s">
        <v>156</v>
      </c>
      <c r="B191" s="493"/>
      <c r="C191" s="494"/>
      <c r="D191" s="232" t="s">
        <v>463</v>
      </c>
      <c r="E191" s="222" t="s">
        <v>462</v>
      </c>
      <c r="F191" s="231" t="s">
        <v>191</v>
      </c>
      <c r="G191" s="222" t="s">
        <v>193</v>
      </c>
      <c r="H191" s="231" t="s">
        <v>192</v>
      </c>
      <c r="I191" s="232" t="s">
        <v>191</v>
      </c>
      <c r="J191" s="231" t="s">
        <v>190</v>
      </c>
    </row>
    <row r="192" spans="1:19" ht="17.25" customHeight="1">
      <c r="A192" s="233"/>
      <c r="B192" s="234"/>
      <c r="C192" s="235"/>
      <c r="D192" s="232" t="s">
        <v>116</v>
      </c>
      <c r="E192" s="222" t="s">
        <v>189</v>
      </c>
      <c r="F192" s="232" t="s">
        <v>402</v>
      </c>
      <c r="G192" s="222" t="s">
        <v>234</v>
      </c>
      <c r="H192" s="232" t="s">
        <v>459</v>
      </c>
      <c r="I192" s="232" t="s">
        <v>167</v>
      </c>
      <c r="J192" s="232" t="s">
        <v>167</v>
      </c>
    </row>
    <row r="193" spans="1:11" ht="17.25" customHeight="1">
      <c r="A193" s="233"/>
      <c r="B193" s="234"/>
      <c r="C193" s="235"/>
      <c r="D193" s="232"/>
      <c r="E193" s="222" t="s">
        <v>458</v>
      </c>
      <c r="F193" s="232" t="s">
        <v>457</v>
      </c>
      <c r="G193" s="222" t="s">
        <v>64</v>
      </c>
      <c r="H193" s="232" t="s">
        <v>167</v>
      </c>
      <c r="I193" s="222"/>
      <c r="J193" s="232"/>
    </row>
    <row r="194" spans="1:11" ht="17.25" customHeight="1">
      <c r="A194" s="233"/>
      <c r="B194" s="234"/>
      <c r="C194" s="235"/>
      <c r="D194" s="232"/>
      <c r="E194" s="222" t="s">
        <v>174</v>
      </c>
      <c r="F194" s="232" t="s">
        <v>174</v>
      </c>
      <c r="G194" s="222" t="s">
        <v>173</v>
      </c>
      <c r="H194" s="232"/>
      <c r="I194" s="222"/>
      <c r="J194" s="232"/>
    </row>
    <row r="195" spans="1:11" ht="17.25" customHeight="1">
      <c r="A195" s="233"/>
      <c r="B195" s="234"/>
      <c r="C195" s="235"/>
      <c r="D195" s="232"/>
      <c r="E195" s="222" t="s">
        <v>172</v>
      </c>
      <c r="F195" s="232" t="s">
        <v>172</v>
      </c>
      <c r="G195" s="222" t="s">
        <v>171</v>
      </c>
      <c r="H195" s="232"/>
      <c r="I195" s="222"/>
      <c r="J195" s="232"/>
    </row>
    <row r="196" spans="1:11" ht="17.25" customHeight="1">
      <c r="A196" s="236"/>
      <c r="B196" s="237"/>
      <c r="C196" s="238"/>
      <c r="D196" s="239"/>
      <c r="E196" s="240" t="s">
        <v>405</v>
      </c>
      <c r="F196" s="239" t="s">
        <v>405</v>
      </c>
      <c r="G196" s="240"/>
      <c r="H196" s="239"/>
      <c r="I196" s="240"/>
      <c r="J196" s="239"/>
    </row>
    <row r="197" spans="1:11" ht="17.25" customHeight="1">
      <c r="A197" s="497"/>
      <c r="B197" s="497"/>
      <c r="C197" s="497"/>
      <c r="D197" s="221"/>
      <c r="E197" s="221">
        <v>1</v>
      </c>
      <c r="F197" s="221">
        <v>2</v>
      </c>
      <c r="G197" s="221">
        <v>3</v>
      </c>
      <c r="H197" s="221">
        <v>4</v>
      </c>
      <c r="I197" s="221">
        <v>5</v>
      </c>
      <c r="J197" s="221">
        <v>6</v>
      </c>
    </row>
    <row r="198" spans="1:11" ht="17.25" customHeight="1">
      <c r="A198" s="120" t="s">
        <v>465</v>
      </c>
      <c r="B198" s="241"/>
      <c r="C198" s="242"/>
      <c r="D198" s="243"/>
      <c r="E198" s="229"/>
      <c r="F198" s="244"/>
      <c r="G198" s="229"/>
      <c r="H198" s="244"/>
      <c r="I198" s="229"/>
      <c r="J198" s="245"/>
    </row>
    <row r="199" spans="1:11" ht="17.25" customHeight="1">
      <c r="A199" s="246" t="s">
        <v>148</v>
      </c>
      <c r="B199" s="241"/>
      <c r="C199" s="242"/>
      <c r="D199" s="247" t="s">
        <v>43</v>
      </c>
      <c r="E199" s="271"/>
      <c r="F199" s="248">
        <f>ROUND(G199*1.04,0)-11783</f>
        <v>328432</v>
      </c>
      <c r="G199" s="271">
        <f>ROUND(K189,0)</f>
        <v>327130</v>
      </c>
      <c r="H199" s="248" t="e">
        <f>E199*1000/H182</f>
        <v>#REF!</v>
      </c>
      <c r="I199" s="271" t="e">
        <f>F199*1000/H182</f>
        <v>#REF!</v>
      </c>
      <c r="J199" s="249" t="e">
        <f>G199*1000/H182</f>
        <v>#REF!</v>
      </c>
      <c r="K199" s="226">
        <f>G199/J189</f>
        <v>1880.0574712643679</v>
      </c>
    </row>
    <row r="200" spans="1:11" ht="17.25" customHeight="1">
      <c r="A200" s="246" t="s">
        <v>42</v>
      </c>
      <c r="B200" s="241"/>
      <c r="C200" s="242"/>
      <c r="D200" s="247" t="s">
        <v>25</v>
      </c>
      <c r="E200" s="271"/>
      <c r="F200" s="248">
        <f>ROUND(G200*1.04,0)</f>
        <v>7831</v>
      </c>
      <c r="G200" s="271">
        <v>7530</v>
      </c>
      <c r="H200" s="248" t="e">
        <f>E200*1000/H182</f>
        <v>#REF!</v>
      </c>
      <c r="I200" s="271" t="e">
        <f>F200*1000/H182</f>
        <v>#REF!</v>
      </c>
      <c r="J200" s="249" t="e">
        <f>G200*1000/H182</f>
        <v>#REF!</v>
      </c>
    </row>
    <row r="201" spans="1:11" ht="17.25" customHeight="1">
      <c r="A201" s="250" t="s">
        <v>24</v>
      </c>
      <c r="B201" s="251"/>
      <c r="C201" s="252"/>
      <c r="D201" s="243"/>
      <c r="E201" s="229"/>
      <c r="F201" s="244"/>
      <c r="G201" s="243"/>
      <c r="H201" s="243"/>
      <c r="I201" s="229"/>
      <c r="J201" s="245"/>
    </row>
    <row r="202" spans="1:11" ht="17.25" customHeight="1">
      <c r="A202" s="236" t="s">
        <v>372</v>
      </c>
      <c r="B202" s="237"/>
      <c r="C202" s="238"/>
      <c r="D202" s="253" t="s">
        <v>137</v>
      </c>
      <c r="E202" s="254"/>
      <c r="F202" s="248">
        <f>G202</f>
        <v>51598</v>
      </c>
      <c r="G202" s="271">
        <v>51598</v>
      </c>
      <c r="H202" s="255" t="e">
        <f>E202*1000/H182</f>
        <v>#REF!</v>
      </c>
      <c r="I202" s="256" t="e">
        <f>F202*1000/H182</f>
        <v>#REF!</v>
      </c>
      <c r="J202" s="257" t="e">
        <f>G202*1000/H182</f>
        <v>#REF!</v>
      </c>
    </row>
    <row r="203" spans="1:11" ht="17.25" customHeight="1">
      <c r="A203" s="250" t="s">
        <v>372</v>
      </c>
      <c r="B203" s="251"/>
      <c r="C203" s="252"/>
      <c r="E203" s="256"/>
      <c r="G203" s="255"/>
      <c r="H203" s="243"/>
      <c r="I203" s="229"/>
      <c r="J203" s="245"/>
    </row>
    <row r="204" spans="1:11" ht="17.25" customHeight="1">
      <c r="A204" s="233" t="s">
        <v>60</v>
      </c>
      <c r="B204" s="234"/>
      <c r="C204" s="235"/>
      <c r="E204" s="256"/>
      <c r="G204" s="255"/>
      <c r="H204" s="255"/>
      <c r="I204" s="256"/>
      <c r="J204" s="257"/>
    </row>
    <row r="205" spans="1:11" ht="17.25" customHeight="1">
      <c r="A205" s="236" t="s">
        <v>59</v>
      </c>
      <c r="B205" s="237"/>
      <c r="C205" s="238"/>
      <c r="D205" s="226" t="s">
        <v>29</v>
      </c>
      <c r="E205" s="256">
        <f>E199+E200-E202</f>
        <v>0</v>
      </c>
      <c r="F205" s="256">
        <f>F199+F200-F202</f>
        <v>284665</v>
      </c>
      <c r="G205" s="255">
        <f>G199+G200-G202</f>
        <v>283062</v>
      </c>
      <c r="H205" s="253" t="e">
        <f>E205*1000/H182</f>
        <v>#REF!</v>
      </c>
      <c r="I205" s="254" t="e">
        <f>F205*1000/H182</f>
        <v>#REF!</v>
      </c>
      <c r="J205" s="258" t="e">
        <f>G205*1000/H182</f>
        <v>#REF!</v>
      </c>
    </row>
    <row r="206" spans="1:11" ht="17.25" customHeight="1">
      <c r="A206" s="121" t="s">
        <v>28</v>
      </c>
      <c r="B206" s="122"/>
      <c r="C206" s="123"/>
      <c r="D206" s="247"/>
      <c r="E206" s="271"/>
      <c r="F206" s="248"/>
      <c r="G206" s="271"/>
      <c r="H206" s="259"/>
      <c r="I206" s="254"/>
      <c r="J206" s="258"/>
    </row>
    <row r="207" spans="1:11" ht="17.25" customHeight="1">
      <c r="A207" s="246" t="s">
        <v>27</v>
      </c>
      <c r="B207" s="241"/>
      <c r="C207" s="242"/>
      <c r="D207" s="247" t="s">
        <v>41</v>
      </c>
      <c r="E207" s="271"/>
      <c r="F207" s="248">
        <f>ROUND(G207*1.04,0)</f>
        <v>9842</v>
      </c>
      <c r="G207" s="271">
        <v>9463</v>
      </c>
      <c r="H207" s="244" t="e">
        <f>E207*1000/H182</f>
        <v>#REF!</v>
      </c>
      <c r="I207" s="229" t="e">
        <f>F207*1000/H182</f>
        <v>#REF!</v>
      </c>
      <c r="J207" s="245" t="e">
        <f>G207*1000/H182</f>
        <v>#REF!</v>
      </c>
    </row>
    <row r="208" spans="1:11" ht="17.25" customHeight="1">
      <c r="A208" s="250" t="s">
        <v>399</v>
      </c>
      <c r="B208" s="251"/>
      <c r="C208" s="252"/>
      <c r="E208" s="229"/>
      <c r="G208" s="243"/>
      <c r="H208" s="243"/>
      <c r="I208" s="229"/>
      <c r="J208" s="245"/>
    </row>
    <row r="209" spans="1:10" ht="17.25" customHeight="1">
      <c r="A209" s="233" t="s">
        <v>398</v>
      </c>
      <c r="B209" s="234"/>
      <c r="C209" s="235"/>
      <c r="E209" s="256"/>
      <c r="G209" s="255"/>
      <c r="H209" s="255"/>
      <c r="I209" s="256"/>
      <c r="J209" s="257"/>
    </row>
    <row r="210" spans="1:10" ht="17.25" customHeight="1">
      <c r="A210" s="236" t="s">
        <v>397</v>
      </c>
      <c r="B210" s="237"/>
      <c r="C210" s="238"/>
      <c r="D210" s="226" t="s">
        <v>346</v>
      </c>
      <c r="E210" s="256"/>
      <c r="F210" s="248">
        <f>ROUND(G210*1.04,0)</f>
        <v>10007</v>
      </c>
      <c r="G210" s="271">
        <v>9622</v>
      </c>
      <c r="H210" s="255" t="e">
        <f>E210*1000/H182</f>
        <v>#REF!</v>
      </c>
      <c r="I210" s="256" t="e">
        <f>F210*1000/H182</f>
        <v>#REF!</v>
      </c>
      <c r="J210" s="257" t="e">
        <f>G210*1000/H182</f>
        <v>#REF!</v>
      </c>
    </row>
    <row r="211" spans="1:10" ht="17.25" customHeight="1">
      <c r="A211" s="250" t="s">
        <v>343</v>
      </c>
      <c r="B211" s="251"/>
      <c r="C211" s="252"/>
      <c r="D211" s="243"/>
      <c r="E211" s="229"/>
      <c r="F211" s="244"/>
      <c r="G211" s="229"/>
      <c r="H211" s="243"/>
      <c r="I211" s="229"/>
      <c r="J211" s="245"/>
    </row>
    <row r="212" spans="1:10" ht="17.25" customHeight="1">
      <c r="A212" s="236" t="s">
        <v>342</v>
      </c>
      <c r="B212" s="237"/>
      <c r="C212" s="238"/>
      <c r="D212" s="253" t="s">
        <v>341</v>
      </c>
      <c r="E212" s="254"/>
      <c r="F212" s="248">
        <f>ROUND(G212*1.04,0)</f>
        <v>2502</v>
      </c>
      <c r="G212" s="248">
        <f>ROUND(G210*0.25,0)</f>
        <v>2406</v>
      </c>
      <c r="H212" s="253" t="e">
        <f>E212*1000/H182</f>
        <v>#REF!</v>
      </c>
      <c r="I212" s="254" t="e">
        <f>F212*1000/H182</f>
        <v>#REF!</v>
      </c>
      <c r="J212" s="258" t="e">
        <f>G212*1000/H182</f>
        <v>#REF!</v>
      </c>
    </row>
    <row r="213" spans="1:10" ht="17.25" customHeight="1">
      <c r="A213" s="233" t="s">
        <v>340</v>
      </c>
      <c r="B213" s="234"/>
      <c r="C213" s="235"/>
      <c r="E213" s="256"/>
      <c r="G213" s="255"/>
      <c r="H213" s="255"/>
      <c r="I213" s="256"/>
      <c r="J213" s="257"/>
    </row>
    <row r="214" spans="1:10" ht="17.25" customHeight="1">
      <c r="A214" s="236" t="s">
        <v>339</v>
      </c>
      <c r="B214" s="237"/>
      <c r="C214" s="238"/>
      <c r="D214" s="226" t="s">
        <v>183</v>
      </c>
      <c r="E214" s="256"/>
      <c r="F214" s="248">
        <f>ROUND(G214*1.04,0)-11199</f>
        <v>293610</v>
      </c>
      <c r="G214" s="271">
        <v>293085.3</v>
      </c>
      <c r="H214" s="253" t="e">
        <f>E214*1000/H182</f>
        <v>#REF!</v>
      </c>
      <c r="I214" s="254" t="e">
        <f>F214*1000/H182</f>
        <v>#REF!</v>
      </c>
      <c r="J214" s="258" t="e">
        <f>G214*1000/H182</f>
        <v>#REF!</v>
      </c>
    </row>
    <row r="215" spans="1:10" ht="17.25" customHeight="1">
      <c r="A215" s="250" t="s">
        <v>182</v>
      </c>
      <c r="B215" s="251"/>
      <c r="C215" s="252"/>
      <c r="D215" s="243"/>
      <c r="E215" s="229"/>
      <c r="F215" s="244"/>
      <c r="G215" s="229"/>
      <c r="H215" s="230"/>
      <c r="I215" s="256"/>
      <c r="J215" s="256"/>
    </row>
    <row r="216" spans="1:10" ht="17.25" customHeight="1">
      <c r="A216" s="236" t="s">
        <v>232</v>
      </c>
      <c r="B216" s="237"/>
      <c r="C216" s="238"/>
      <c r="D216" s="253" t="s">
        <v>476</v>
      </c>
      <c r="E216" s="254">
        <f>E207+E210+E212+E214</f>
        <v>0</v>
      </c>
      <c r="F216" s="254">
        <f>F207+F210+F212+F214</f>
        <v>315961</v>
      </c>
      <c r="G216" s="254">
        <f>G207+G210+G212+G214</f>
        <v>314576.3</v>
      </c>
      <c r="H216" s="254" t="e">
        <f>E216*1000/H182</f>
        <v>#REF!</v>
      </c>
      <c r="I216" s="254" t="e">
        <f>F216*1000/H182</f>
        <v>#REF!</v>
      </c>
      <c r="J216" s="254" t="e">
        <f>G216*1000/H182</f>
        <v>#REF!</v>
      </c>
    </row>
    <row r="217" spans="1:10" ht="17.25" customHeight="1">
      <c r="A217" s="233"/>
      <c r="B217" s="234"/>
      <c r="C217" s="235"/>
      <c r="D217" s="230"/>
      <c r="E217" s="256"/>
      <c r="F217" s="230"/>
      <c r="G217" s="229"/>
      <c r="H217" s="230"/>
      <c r="I217" s="256"/>
      <c r="J217" s="256"/>
    </row>
    <row r="218" spans="1:10" ht="17.25" customHeight="1">
      <c r="A218" s="233" t="s">
        <v>76</v>
      </c>
      <c r="B218" s="234"/>
      <c r="C218" s="235"/>
      <c r="D218" s="230"/>
      <c r="E218" s="256"/>
      <c r="F218" s="230"/>
      <c r="G218" s="256"/>
      <c r="H218" s="230"/>
      <c r="I218" s="254" t="e">
        <f>F218*1000/H182</f>
        <v>#REF!</v>
      </c>
      <c r="J218" s="254" t="e">
        <f>G218*1000/I182</f>
        <v>#DIV/0!</v>
      </c>
    </row>
    <row r="219" spans="1:10" ht="17.25" customHeight="1">
      <c r="A219" s="250" t="s">
        <v>475</v>
      </c>
      <c r="B219" s="251"/>
      <c r="C219" s="252"/>
      <c r="E219" s="256"/>
      <c r="G219" s="256"/>
      <c r="I219" s="256"/>
      <c r="J219" s="256"/>
    </row>
    <row r="220" spans="1:10" ht="17.25" customHeight="1">
      <c r="A220" s="233" t="s">
        <v>330</v>
      </c>
      <c r="B220" s="234"/>
      <c r="C220" s="235"/>
      <c r="D220" s="226" t="s">
        <v>329</v>
      </c>
      <c r="E220" s="256">
        <f>E205+E216</f>
        <v>0</v>
      </c>
      <c r="F220" s="255">
        <f>F205+F216+F218</f>
        <v>600626</v>
      </c>
      <c r="G220" s="254">
        <f>G205+G216+G218</f>
        <v>597638.30000000005</v>
      </c>
      <c r="H220" s="257" t="e">
        <f>E220*1000/H182</f>
        <v>#REF!</v>
      </c>
      <c r="I220" s="256" t="e">
        <f>F220*1000/H182</f>
        <v>#REF!</v>
      </c>
      <c r="J220" s="256" t="e">
        <f>G220*1000/H182</f>
        <v>#REF!</v>
      </c>
    </row>
    <row r="221" spans="1:10" ht="17.25" customHeight="1">
      <c r="A221" s="250" t="s">
        <v>328</v>
      </c>
      <c r="B221" s="251"/>
      <c r="C221" s="252"/>
      <c r="D221" s="243"/>
      <c r="E221" s="229"/>
      <c r="F221" s="244"/>
      <c r="G221" s="229"/>
      <c r="H221" s="243"/>
      <c r="I221" s="229"/>
      <c r="J221" s="245"/>
    </row>
    <row r="222" spans="1:10" ht="17.25" customHeight="1">
      <c r="A222" s="236" t="s">
        <v>207</v>
      </c>
      <c r="B222" s="237"/>
      <c r="C222" s="238"/>
      <c r="D222" s="253" t="s">
        <v>354</v>
      </c>
      <c r="E222" s="254"/>
      <c r="F222" s="259" t="e">
        <f>'Вспом-1'!D12</f>
        <v>#REF!</v>
      </c>
      <c r="G222" s="259" t="e">
        <f>'Вспом-1'!E12</f>
        <v>#REF!</v>
      </c>
      <c r="H222" s="253" t="e">
        <f>E222*1000/H182</f>
        <v>#REF!</v>
      </c>
      <c r="I222" s="254" t="e">
        <f>F222*1000/H182</f>
        <v>#REF!</v>
      </c>
      <c r="J222" s="258" t="e">
        <f>G222*1000/H182</f>
        <v>#REF!</v>
      </c>
    </row>
    <row r="223" spans="1:10" ht="17.25" customHeight="1">
      <c r="A223" s="234"/>
      <c r="B223" s="234"/>
      <c r="C223" s="234"/>
      <c r="D223" s="230"/>
      <c r="E223" s="230"/>
      <c r="F223" s="260" t="e">
        <f>'Вспом-1'!G12-F220</f>
        <v>#REF!</v>
      </c>
      <c r="G223" s="260" t="e">
        <f>#REF!-'73-ХЛ'!G220</f>
        <v>#REF!</v>
      </c>
      <c r="H223" s="230"/>
      <c r="I223" s="230"/>
      <c r="J223" s="230"/>
    </row>
    <row r="224" spans="1:10">
      <c r="J224" s="226"/>
    </row>
    <row r="225" spans="1:10">
      <c r="J225" s="226"/>
    </row>
    <row r="226" spans="1:10">
      <c r="J226" s="226"/>
    </row>
    <row r="227" spans="1:10">
      <c r="J227" s="226"/>
    </row>
    <row r="228" spans="1:10">
      <c r="J228" s="226"/>
    </row>
    <row r="229" spans="1:10">
      <c r="J229" s="226"/>
    </row>
    <row r="230" spans="1:10">
      <c r="J230" s="226"/>
    </row>
    <row r="231" spans="1:10">
      <c r="J231" s="226"/>
    </row>
    <row r="232" spans="1:10">
      <c r="J232" s="226"/>
    </row>
    <row r="233" spans="1:10">
      <c r="J233" s="226"/>
    </row>
    <row r="234" spans="1:10">
      <c r="J234" s="226"/>
    </row>
    <row r="235" spans="1:10">
      <c r="J235" s="226"/>
    </row>
    <row r="236" spans="1:10">
      <c r="J236" s="226"/>
    </row>
    <row r="237" spans="1:10" ht="17.25" customHeight="1">
      <c r="A237" s="205" t="s">
        <v>317</v>
      </c>
      <c r="E237" s="226" t="s">
        <v>40</v>
      </c>
      <c r="H237" s="226" t="e">
        <f>#REF!</f>
        <v>#REF!</v>
      </c>
      <c r="J237" s="226"/>
    </row>
    <row r="238" spans="1:10" ht="17.25" customHeight="1">
      <c r="E238" s="226" t="s">
        <v>227</v>
      </c>
      <c r="H238" s="226">
        <f>J244</f>
        <v>0</v>
      </c>
      <c r="J238" s="226"/>
    </row>
    <row r="239" spans="1:10" ht="17.25" customHeight="1">
      <c r="E239" s="226" t="s">
        <v>226</v>
      </c>
      <c r="J239" s="226"/>
    </row>
    <row r="240" spans="1:10" ht="17.25" customHeight="1">
      <c r="E240" s="271" t="s">
        <v>498</v>
      </c>
      <c r="F240" s="271" t="s">
        <v>497</v>
      </c>
      <c r="G240" s="271" t="s">
        <v>496</v>
      </c>
      <c r="H240" s="271" t="s">
        <v>495</v>
      </c>
      <c r="I240" s="271" t="s">
        <v>494</v>
      </c>
      <c r="J240" s="271" t="s">
        <v>168</v>
      </c>
    </row>
    <row r="241" spans="1:19" ht="17.25" customHeight="1">
      <c r="D241" s="226" t="s">
        <v>493</v>
      </c>
      <c r="E241" s="271"/>
      <c r="F241" s="271"/>
      <c r="G241" s="271"/>
      <c r="H241" s="271"/>
      <c r="I241" s="271"/>
      <c r="J241" s="271">
        <f>E241+F241+G241+H241+I241</f>
        <v>0</v>
      </c>
      <c r="K241" s="226">
        <f>E241*1314.94+F241*1201.95+G241*1052.91+H241*783.67</f>
        <v>0</v>
      </c>
    </row>
    <row r="242" spans="1:19" ht="17.25" customHeight="1">
      <c r="D242" s="226" t="s">
        <v>56</v>
      </c>
      <c r="E242" s="271"/>
      <c r="F242" s="271"/>
      <c r="G242" s="271"/>
      <c r="H242" s="271"/>
      <c r="I242" s="271"/>
      <c r="J242" s="271">
        <f>E242+F242+G242+H242+I242</f>
        <v>0</v>
      </c>
      <c r="K242" s="226">
        <f>E242*1281.28</f>
        <v>0</v>
      </c>
    </row>
    <row r="243" spans="1:19" ht="17.25" customHeight="1">
      <c r="D243" s="226" t="s">
        <v>201</v>
      </c>
      <c r="E243" s="271"/>
      <c r="F243" s="271"/>
      <c r="G243" s="271"/>
      <c r="H243" s="271"/>
      <c r="I243" s="271"/>
      <c r="J243" s="271">
        <f>E243+F243+G243+H243+I243</f>
        <v>0</v>
      </c>
      <c r="K243" s="226">
        <f>I243*509.5</f>
        <v>0</v>
      </c>
    </row>
    <row r="244" spans="1:19" ht="17.25" customHeight="1">
      <c r="D244" s="226" t="s">
        <v>168</v>
      </c>
      <c r="E244" s="229">
        <f t="shared" ref="E244:J244" si="3">E241+E242+E243</f>
        <v>0</v>
      </c>
      <c r="F244" s="229">
        <f t="shared" si="3"/>
        <v>0</v>
      </c>
      <c r="G244" s="229">
        <f t="shared" si="3"/>
        <v>0</v>
      </c>
      <c r="H244" s="229">
        <f t="shared" si="3"/>
        <v>0</v>
      </c>
      <c r="I244" s="229">
        <f t="shared" si="3"/>
        <v>0</v>
      </c>
      <c r="J244" s="229">
        <f t="shared" si="3"/>
        <v>0</v>
      </c>
      <c r="K244" s="226">
        <f>SUM(K241:K243)</f>
        <v>0</v>
      </c>
      <c r="N244" s="230"/>
      <c r="O244" s="230"/>
      <c r="P244" s="230"/>
      <c r="Q244" s="230"/>
      <c r="R244" s="230"/>
      <c r="S244" s="230"/>
    </row>
    <row r="245" spans="1:19" ht="17.25" customHeight="1">
      <c r="A245" s="498" t="s">
        <v>162</v>
      </c>
      <c r="B245" s="499"/>
      <c r="C245" s="500"/>
      <c r="D245" s="231" t="s">
        <v>161</v>
      </c>
      <c r="E245" s="490" t="s">
        <v>243</v>
      </c>
      <c r="F245" s="490"/>
      <c r="G245" s="491"/>
      <c r="H245" s="489" t="s">
        <v>347</v>
      </c>
      <c r="I245" s="490"/>
      <c r="J245" s="491"/>
    </row>
    <row r="246" spans="1:19" ht="17.25" customHeight="1">
      <c r="A246" s="492" t="s">
        <v>156</v>
      </c>
      <c r="B246" s="493"/>
      <c r="C246" s="494"/>
      <c r="D246" s="232" t="s">
        <v>463</v>
      </c>
      <c r="E246" s="222" t="s">
        <v>462</v>
      </c>
      <c r="F246" s="231" t="s">
        <v>191</v>
      </c>
      <c r="G246" s="222" t="s">
        <v>193</v>
      </c>
      <c r="H246" s="231" t="s">
        <v>192</v>
      </c>
      <c r="I246" s="232" t="s">
        <v>191</v>
      </c>
      <c r="J246" s="231" t="s">
        <v>190</v>
      </c>
    </row>
    <row r="247" spans="1:19" ht="17.25" customHeight="1">
      <c r="A247" s="233"/>
      <c r="B247" s="234"/>
      <c r="C247" s="235"/>
      <c r="D247" s="232" t="s">
        <v>116</v>
      </c>
      <c r="E247" s="222" t="s">
        <v>189</v>
      </c>
      <c r="F247" s="232" t="s">
        <v>402</v>
      </c>
      <c r="G247" s="222" t="s">
        <v>234</v>
      </c>
      <c r="H247" s="232" t="s">
        <v>459</v>
      </c>
      <c r="I247" s="232" t="s">
        <v>167</v>
      </c>
      <c r="J247" s="232" t="s">
        <v>167</v>
      </c>
    </row>
    <row r="248" spans="1:19" ht="17.25" customHeight="1">
      <c r="A248" s="233"/>
      <c r="B248" s="234"/>
      <c r="C248" s="235"/>
      <c r="D248" s="232"/>
      <c r="E248" s="222" t="s">
        <v>458</v>
      </c>
      <c r="F248" s="232" t="s">
        <v>457</v>
      </c>
      <c r="G248" s="222" t="s">
        <v>64</v>
      </c>
      <c r="H248" s="232" t="s">
        <v>167</v>
      </c>
      <c r="I248" s="222"/>
      <c r="J248" s="232"/>
    </row>
    <row r="249" spans="1:19" ht="17.25" customHeight="1">
      <c r="A249" s="233"/>
      <c r="B249" s="234"/>
      <c r="C249" s="235"/>
      <c r="D249" s="232"/>
      <c r="E249" s="222" t="s">
        <v>174</v>
      </c>
      <c r="F249" s="232" t="s">
        <v>174</v>
      </c>
      <c r="G249" s="222" t="s">
        <v>173</v>
      </c>
      <c r="H249" s="232"/>
      <c r="I249" s="222"/>
      <c r="J249" s="232"/>
    </row>
    <row r="250" spans="1:19" ht="17.25" customHeight="1">
      <c r="A250" s="233"/>
      <c r="B250" s="234"/>
      <c r="C250" s="235"/>
      <c r="D250" s="232"/>
      <c r="E250" s="222" t="s">
        <v>172</v>
      </c>
      <c r="F250" s="232" t="s">
        <v>172</v>
      </c>
      <c r="G250" s="222" t="s">
        <v>171</v>
      </c>
      <c r="H250" s="232"/>
      <c r="I250" s="222"/>
      <c r="J250" s="232"/>
    </row>
    <row r="251" spans="1:19" ht="17.25" customHeight="1">
      <c r="A251" s="236"/>
      <c r="B251" s="237"/>
      <c r="C251" s="238"/>
      <c r="D251" s="239"/>
      <c r="E251" s="240" t="s">
        <v>405</v>
      </c>
      <c r="F251" s="239" t="s">
        <v>405</v>
      </c>
      <c r="G251" s="240"/>
      <c r="H251" s="239"/>
      <c r="I251" s="240"/>
      <c r="J251" s="239"/>
    </row>
    <row r="252" spans="1:19" ht="17.25" customHeight="1">
      <c r="A252" s="497"/>
      <c r="B252" s="497"/>
      <c r="C252" s="497"/>
      <c r="D252" s="221"/>
      <c r="E252" s="221">
        <v>1</v>
      </c>
      <c r="F252" s="221">
        <v>2</v>
      </c>
      <c r="G252" s="221">
        <v>3</v>
      </c>
      <c r="H252" s="221">
        <v>4</v>
      </c>
      <c r="I252" s="221">
        <v>5</v>
      </c>
      <c r="J252" s="221">
        <v>6</v>
      </c>
    </row>
    <row r="253" spans="1:19" ht="17.25" customHeight="1">
      <c r="A253" s="120" t="s">
        <v>465</v>
      </c>
      <c r="B253" s="241"/>
      <c r="C253" s="242"/>
      <c r="D253" s="243"/>
      <c r="E253" s="229"/>
      <c r="F253" s="244"/>
      <c r="G253" s="229"/>
      <c r="H253" s="244"/>
      <c r="I253" s="229"/>
      <c r="J253" s="245"/>
    </row>
    <row r="254" spans="1:19" ht="17.25" customHeight="1">
      <c r="A254" s="246" t="s">
        <v>148</v>
      </c>
      <c r="B254" s="241"/>
      <c r="C254" s="242"/>
      <c r="D254" s="247" t="s">
        <v>43</v>
      </c>
      <c r="E254" s="271"/>
      <c r="F254" s="248">
        <f>ROUND(G254*1.03,0)</f>
        <v>0</v>
      </c>
      <c r="G254" s="271">
        <f>ROUND(K244,0)</f>
        <v>0</v>
      </c>
      <c r="H254" s="248" t="e">
        <f>E254*1000/H237</f>
        <v>#REF!</v>
      </c>
      <c r="I254" s="271" t="e">
        <f>F254*1000/H237</f>
        <v>#REF!</v>
      </c>
      <c r="J254" s="249" t="e">
        <f>G254*1000/H237</f>
        <v>#REF!</v>
      </c>
      <c r="K254" s="226" t="e">
        <f>G254/J244</f>
        <v>#DIV/0!</v>
      </c>
    </row>
    <row r="255" spans="1:19" ht="17.25" customHeight="1">
      <c r="A255" s="246" t="s">
        <v>42</v>
      </c>
      <c r="B255" s="241"/>
      <c r="C255" s="242"/>
      <c r="D255" s="247" t="s">
        <v>25</v>
      </c>
      <c r="E255" s="271"/>
      <c r="F255" s="248" t="e">
        <f>ROUND(G255*1.03,0)</f>
        <v>#REF!</v>
      </c>
      <c r="G255" s="271" t="e">
        <f>Q363</f>
        <v>#REF!</v>
      </c>
      <c r="H255" s="247" t="e">
        <f>E255*1000/H237</f>
        <v>#REF!</v>
      </c>
      <c r="I255" s="271" t="e">
        <f>F255*1000/H237</f>
        <v>#REF!</v>
      </c>
      <c r="J255" s="249" t="e">
        <f>G255*1000/H237</f>
        <v>#REF!</v>
      </c>
    </row>
    <row r="256" spans="1:19" ht="17.25" customHeight="1">
      <c r="A256" s="250" t="s">
        <v>24</v>
      </c>
      <c r="B256" s="251"/>
      <c r="C256" s="252"/>
      <c r="D256" s="243"/>
      <c r="E256" s="229"/>
      <c r="F256" s="244"/>
      <c r="G256" s="243"/>
      <c r="H256" s="243"/>
      <c r="I256" s="229"/>
      <c r="J256" s="245"/>
    </row>
    <row r="257" spans="1:10" ht="17.25" customHeight="1">
      <c r="A257" s="236" t="s">
        <v>372</v>
      </c>
      <c r="B257" s="237"/>
      <c r="C257" s="238"/>
      <c r="D257" s="253" t="s">
        <v>137</v>
      </c>
      <c r="E257" s="254"/>
      <c r="F257" s="248" t="e">
        <f>G257</f>
        <v>#REF!</v>
      </c>
      <c r="G257" s="271" t="e">
        <f>Q365</f>
        <v>#REF!</v>
      </c>
      <c r="H257" s="255" t="e">
        <f>E257*1000/H237</f>
        <v>#REF!</v>
      </c>
      <c r="I257" s="256" t="e">
        <f>F257*1000/H237</f>
        <v>#REF!</v>
      </c>
      <c r="J257" s="257" t="e">
        <f>G257*1000/H237</f>
        <v>#REF!</v>
      </c>
    </row>
    <row r="258" spans="1:10" ht="17.25" customHeight="1">
      <c r="A258" s="250" t="s">
        <v>372</v>
      </c>
      <c r="B258" s="251"/>
      <c r="C258" s="252"/>
      <c r="E258" s="256"/>
      <c r="G258" s="255"/>
      <c r="H258" s="243"/>
      <c r="I258" s="229"/>
      <c r="J258" s="245"/>
    </row>
    <row r="259" spans="1:10" ht="17.25" customHeight="1">
      <c r="A259" s="233" t="s">
        <v>60</v>
      </c>
      <c r="B259" s="234"/>
      <c r="C259" s="235"/>
      <c r="E259" s="256"/>
      <c r="G259" s="255"/>
      <c r="H259" s="255"/>
      <c r="I259" s="256"/>
      <c r="J259" s="257"/>
    </row>
    <row r="260" spans="1:10" ht="17.25" customHeight="1">
      <c r="A260" s="236" t="s">
        <v>59</v>
      </c>
      <c r="B260" s="237"/>
      <c r="C260" s="238"/>
      <c r="D260" s="226" t="s">
        <v>29</v>
      </c>
      <c r="E260" s="256">
        <f>E254+E255-E257</f>
        <v>0</v>
      </c>
      <c r="F260" s="256" t="e">
        <f>F254+F255-F257</f>
        <v>#REF!</v>
      </c>
      <c r="G260" s="255" t="e">
        <f>G254+G255-G257</f>
        <v>#REF!</v>
      </c>
      <c r="H260" s="253" t="e">
        <f>E260*1000/H237</f>
        <v>#REF!</v>
      </c>
      <c r="I260" s="254" t="e">
        <f>F260*1000/H237</f>
        <v>#REF!</v>
      </c>
      <c r="J260" s="258" t="e">
        <f>G260*1000/H237</f>
        <v>#REF!</v>
      </c>
    </row>
    <row r="261" spans="1:10" ht="17.25" customHeight="1">
      <c r="A261" s="121" t="s">
        <v>28</v>
      </c>
      <c r="B261" s="122"/>
      <c r="C261" s="123"/>
      <c r="D261" s="247"/>
      <c r="E261" s="271"/>
      <c r="F261" s="248"/>
      <c r="G261" s="271"/>
      <c r="H261" s="259"/>
      <c r="I261" s="254"/>
      <c r="J261" s="258"/>
    </row>
    <row r="262" spans="1:10" ht="17.25" customHeight="1">
      <c r="A262" s="246" t="s">
        <v>27</v>
      </c>
      <c r="B262" s="241"/>
      <c r="C262" s="242"/>
      <c r="D262" s="247" t="s">
        <v>41</v>
      </c>
      <c r="E262" s="271"/>
      <c r="F262" s="248" t="e">
        <f>ROUND(G262*1.03,0)</f>
        <v>#REF!</v>
      </c>
      <c r="G262" s="271" t="e">
        <f>Q370</f>
        <v>#REF!</v>
      </c>
      <c r="H262" s="244" t="e">
        <f>E262*1000/H237</f>
        <v>#REF!</v>
      </c>
      <c r="I262" s="229" t="e">
        <f>F262*1000/H237</f>
        <v>#REF!</v>
      </c>
      <c r="J262" s="245" t="e">
        <f>G262*1000/H237</f>
        <v>#REF!</v>
      </c>
    </row>
    <row r="263" spans="1:10" ht="17.25" customHeight="1">
      <c r="A263" s="250" t="s">
        <v>399</v>
      </c>
      <c r="B263" s="251"/>
      <c r="C263" s="252"/>
      <c r="E263" s="229"/>
      <c r="G263" s="243"/>
      <c r="H263" s="243"/>
      <c r="I263" s="229"/>
      <c r="J263" s="245"/>
    </row>
    <row r="264" spans="1:10" ht="17.25" customHeight="1">
      <c r="A264" s="233" t="s">
        <v>398</v>
      </c>
      <c r="B264" s="234"/>
      <c r="C264" s="235"/>
      <c r="E264" s="256"/>
      <c r="G264" s="255"/>
      <c r="H264" s="255"/>
      <c r="I264" s="256"/>
      <c r="J264" s="257"/>
    </row>
    <row r="265" spans="1:10" ht="17.25" customHeight="1">
      <c r="A265" s="236" t="s">
        <v>397</v>
      </c>
      <c r="B265" s="237"/>
      <c r="C265" s="238"/>
      <c r="D265" s="226" t="s">
        <v>346</v>
      </c>
      <c r="E265" s="256"/>
      <c r="F265" s="248" t="e">
        <f>ROUND(G265*1.03,0)</f>
        <v>#REF!</v>
      </c>
      <c r="G265" s="271" t="e">
        <f>Q373</f>
        <v>#REF!</v>
      </c>
      <c r="H265" s="255" t="e">
        <f>E265*1000/H237</f>
        <v>#REF!</v>
      </c>
      <c r="I265" s="256" t="e">
        <f>F265*1000/H237</f>
        <v>#REF!</v>
      </c>
      <c r="J265" s="257" t="e">
        <f>G265*1000/H237</f>
        <v>#REF!</v>
      </c>
    </row>
    <row r="266" spans="1:10" ht="17.25" customHeight="1">
      <c r="A266" s="250" t="s">
        <v>343</v>
      </c>
      <c r="B266" s="251"/>
      <c r="C266" s="252"/>
      <c r="D266" s="243"/>
      <c r="E266" s="229"/>
      <c r="F266" s="244"/>
      <c r="G266" s="256"/>
      <c r="H266" s="243"/>
      <c r="I266" s="229"/>
      <c r="J266" s="245"/>
    </row>
    <row r="267" spans="1:10" ht="17.25" customHeight="1">
      <c r="A267" s="236" t="s">
        <v>342</v>
      </c>
      <c r="B267" s="237"/>
      <c r="C267" s="238"/>
      <c r="D267" s="253" t="s">
        <v>341</v>
      </c>
      <c r="E267" s="254"/>
      <c r="F267" s="248" t="e">
        <f>ROUND(G267*1.03,0)</f>
        <v>#REF!</v>
      </c>
      <c r="G267" s="248" t="e">
        <f>ROUND(G265*0.25,0)</f>
        <v>#REF!</v>
      </c>
      <c r="H267" s="253" t="e">
        <f>E267*1000/H237</f>
        <v>#REF!</v>
      </c>
      <c r="I267" s="254" t="e">
        <f>F267*1000/H237</f>
        <v>#REF!</v>
      </c>
      <c r="J267" s="258" t="e">
        <f>G267*1000/H237</f>
        <v>#REF!</v>
      </c>
    </row>
    <row r="268" spans="1:10" ht="19.5" customHeight="1">
      <c r="A268" s="233" t="s">
        <v>340</v>
      </c>
      <c r="B268" s="234"/>
      <c r="C268" s="235"/>
      <c r="E268" s="256"/>
      <c r="G268" s="255"/>
      <c r="H268" s="255"/>
      <c r="I268" s="256"/>
      <c r="J268" s="257"/>
    </row>
    <row r="269" spans="1:10" ht="19.5" customHeight="1">
      <c r="A269" s="236" t="s">
        <v>339</v>
      </c>
      <c r="B269" s="237"/>
      <c r="C269" s="238"/>
      <c r="D269" s="226" t="s">
        <v>183</v>
      </c>
      <c r="E269" s="256"/>
      <c r="F269" s="248" t="e">
        <f>ROUND(G269*1.03,0)</f>
        <v>#REF!</v>
      </c>
      <c r="G269" s="271" t="e">
        <f>Q377</f>
        <v>#REF!</v>
      </c>
      <c r="H269" s="253" t="e">
        <f>E269*1000/H237</f>
        <v>#REF!</v>
      </c>
      <c r="I269" s="254" t="e">
        <f>F269*1000/H237</f>
        <v>#REF!</v>
      </c>
      <c r="J269" s="258" t="e">
        <f>G269*1000/H237</f>
        <v>#REF!</v>
      </c>
    </row>
    <row r="270" spans="1:10" ht="19.5" customHeight="1">
      <c r="A270" s="250" t="s">
        <v>182</v>
      </c>
      <c r="B270" s="251"/>
      <c r="C270" s="252"/>
      <c r="D270" s="243"/>
      <c r="E270" s="229"/>
      <c r="F270" s="244"/>
      <c r="G270" s="229"/>
      <c r="H270" s="230"/>
      <c r="I270" s="256"/>
      <c r="J270" s="256"/>
    </row>
    <row r="271" spans="1:10" ht="19.5" customHeight="1">
      <c r="A271" s="236" t="s">
        <v>232</v>
      </c>
      <c r="B271" s="237"/>
      <c r="C271" s="238"/>
      <c r="D271" s="253" t="s">
        <v>476</v>
      </c>
      <c r="E271" s="254">
        <f>E262+E265+E267+E269</f>
        <v>0</v>
      </c>
      <c r="F271" s="254" t="e">
        <f>F262+F265+F267+F269</f>
        <v>#REF!</v>
      </c>
      <c r="G271" s="254" t="e">
        <f>G262+G265+G267+G269</f>
        <v>#REF!</v>
      </c>
      <c r="H271" s="254" t="e">
        <f>E271*1000/H237</f>
        <v>#REF!</v>
      </c>
      <c r="I271" s="254" t="e">
        <f>F271*1000/H237</f>
        <v>#REF!</v>
      </c>
      <c r="J271" s="254" t="e">
        <f>G271*1000/H237</f>
        <v>#REF!</v>
      </c>
    </row>
    <row r="272" spans="1:10" ht="19.5" customHeight="1">
      <c r="A272" s="233"/>
      <c r="B272" s="234"/>
      <c r="C272" s="235"/>
      <c r="D272" s="230"/>
      <c r="E272" s="256"/>
      <c r="F272" s="230"/>
      <c r="G272" s="229"/>
      <c r="H272" s="230"/>
      <c r="I272" s="256"/>
      <c r="J272" s="256"/>
    </row>
    <row r="273" spans="1:10" ht="19.5" customHeight="1">
      <c r="A273" s="233" t="s">
        <v>76</v>
      </c>
      <c r="B273" s="234"/>
      <c r="C273" s="235"/>
      <c r="D273" s="230"/>
      <c r="E273" s="256"/>
      <c r="F273" s="230"/>
      <c r="G273" s="256"/>
      <c r="H273" s="230"/>
      <c r="I273" s="254" t="e">
        <f>F273*1000/H237</f>
        <v>#REF!</v>
      </c>
      <c r="J273" s="254" t="e">
        <f>G273*1000/I237</f>
        <v>#DIV/0!</v>
      </c>
    </row>
    <row r="274" spans="1:10" ht="19.5" customHeight="1">
      <c r="A274" s="250" t="s">
        <v>475</v>
      </c>
      <c r="B274" s="251"/>
      <c r="C274" s="252"/>
      <c r="E274" s="256"/>
      <c r="G274" s="256"/>
      <c r="I274" s="256"/>
      <c r="J274" s="256"/>
    </row>
    <row r="275" spans="1:10" ht="19.5" customHeight="1">
      <c r="A275" s="233" t="s">
        <v>330</v>
      </c>
      <c r="B275" s="234"/>
      <c r="C275" s="235"/>
      <c r="D275" s="226" t="s">
        <v>329</v>
      </c>
      <c r="E275" s="256">
        <f>E260+E271</f>
        <v>0</v>
      </c>
      <c r="F275" s="255" t="e">
        <f>F260+F271+F273</f>
        <v>#REF!</v>
      </c>
      <c r="G275" s="254" t="e">
        <f>G260+G271+G273</f>
        <v>#REF!</v>
      </c>
      <c r="H275" s="257" t="e">
        <f>E275*1000/H237</f>
        <v>#REF!</v>
      </c>
      <c r="I275" s="256" t="e">
        <f>F275*1000/H237</f>
        <v>#REF!</v>
      </c>
      <c r="J275" s="256" t="e">
        <f>G275*1000/H237</f>
        <v>#REF!</v>
      </c>
    </row>
    <row r="276" spans="1:10" ht="19.5" customHeight="1">
      <c r="A276" s="250" t="s">
        <v>328</v>
      </c>
      <c r="B276" s="251"/>
      <c r="C276" s="252"/>
      <c r="D276" s="243"/>
      <c r="E276" s="229"/>
      <c r="F276" s="244"/>
      <c r="G276" s="229"/>
      <c r="H276" s="243"/>
      <c r="I276" s="229"/>
      <c r="J276" s="245"/>
    </row>
    <row r="277" spans="1:10" ht="19.5" customHeight="1">
      <c r="A277" s="236" t="s">
        <v>207</v>
      </c>
      <c r="B277" s="237"/>
      <c r="C277" s="238"/>
      <c r="D277" s="253" t="s">
        <v>354</v>
      </c>
      <c r="E277" s="254"/>
      <c r="F277" s="259" t="e">
        <f>'Вспом-1'!D13</f>
        <v>#REF!</v>
      </c>
      <c r="G277" s="254" t="e">
        <f>'Вспом-1'!E13</f>
        <v>#REF!</v>
      </c>
      <c r="H277" s="253" t="e">
        <f>E277*1000/H237</f>
        <v>#REF!</v>
      </c>
      <c r="I277" s="254" t="e">
        <f>F277*1000/H237</f>
        <v>#REF!</v>
      </c>
      <c r="J277" s="258" t="e">
        <f>G277*1000/H237</f>
        <v>#REF!</v>
      </c>
    </row>
    <row r="278" spans="1:10" ht="19.5" customHeight="1">
      <c r="A278" s="234"/>
      <c r="B278" s="234"/>
      <c r="C278" s="234"/>
      <c r="D278" s="230"/>
      <c r="E278" s="230"/>
      <c r="F278" s="260" t="e">
        <f>'Вспом-1'!G13-'73-ХЛ'!F275</f>
        <v>#REF!</v>
      </c>
      <c r="G278" s="260" t="e">
        <f>#REF!-'73-ХЛ'!G275</f>
        <v>#REF!</v>
      </c>
      <c r="H278" s="230"/>
      <c r="I278" s="230"/>
      <c r="J278" s="230"/>
    </row>
    <row r="279" spans="1:10">
      <c r="J279" s="226"/>
    </row>
    <row r="280" spans="1:10">
      <c r="J280" s="226"/>
    </row>
    <row r="281" spans="1:10">
      <c r="J281" s="226"/>
    </row>
    <row r="282" spans="1:10">
      <c r="J282" s="226"/>
    </row>
    <row r="283" spans="1:10">
      <c r="J283" s="226"/>
    </row>
    <row r="284" spans="1:10">
      <c r="J284" s="226"/>
    </row>
    <row r="285" spans="1:10">
      <c r="J285" s="226"/>
    </row>
    <row r="286" spans="1:10">
      <c r="J286" s="226"/>
    </row>
    <row r="287" spans="1:10">
      <c r="J287" s="226"/>
    </row>
    <row r="288" spans="1:10">
      <c r="J288" s="226"/>
    </row>
    <row r="289" spans="1:19">
      <c r="J289" s="226"/>
    </row>
    <row r="290" spans="1:19">
      <c r="J290" s="226"/>
    </row>
    <row r="291" spans="1:19" ht="18" customHeight="1">
      <c r="A291" s="205" t="s">
        <v>317</v>
      </c>
      <c r="E291" s="226" t="s">
        <v>323</v>
      </c>
      <c r="H291" s="226" t="e">
        <f>#REF!</f>
        <v>#REF!</v>
      </c>
      <c r="J291" s="226"/>
    </row>
    <row r="292" spans="1:19" ht="18" customHeight="1">
      <c r="E292" s="226" t="s">
        <v>227</v>
      </c>
      <c r="H292" s="226">
        <f>J298</f>
        <v>5</v>
      </c>
      <c r="J292" s="226"/>
    </row>
    <row r="293" spans="1:19" ht="18" customHeight="1">
      <c r="E293" s="226" t="s">
        <v>226</v>
      </c>
      <c r="J293" s="226"/>
    </row>
    <row r="294" spans="1:19" ht="18" customHeight="1">
      <c r="E294" s="271" t="s">
        <v>498</v>
      </c>
      <c r="F294" s="271" t="s">
        <v>497</v>
      </c>
      <c r="G294" s="271" t="s">
        <v>496</v>
      </c>
      <c r="H294" s="271" t="s">
        <v>495</v>
      </c>
      <c r="I294" s="271" t="s">
        <v>494</v>
      </c>
      <c r="J294" s="271" t="s">
        <v>168</v>
      </c>
    </row>
    <row r="295" spans="1:19" ht="18" customHeight="1">
      <c r="D295" s="226" t="s">
        <v>493</v>
      </c>
      <c r="E295" s="271"/>
      <c r="F295" s="271">
        <v>5</v>
      </c>
      <c r="G295" s="271"/>
      <c r="H295" s="271"/>
      <c r="I295" s="271"/>
      <c r="J295" s="271">
        <f>E295+F295+G295+H295+I295</f>
        <v>5</v>
      </c>
      <c r="K295" s="226">
        <f>E295*2056.79+F295*1880.06</f>
        <v>9400.2999999999993</v>
      </c>
    </row>
    <row r="296" spans="1:19" ht="18" customHeight="1">
      <c r="D296" s="226" t="s">
        <v>56</v>
      </c>
      <c r="E296" s="271"/>
      <c r="F296" s="271"/>
      <c r="G296" s="271"/>
      <c r="H296" s="271"/>
      <c r="I296" s="271"/>
      <c r="J296" s="271">
        <f>E296+F296+G296+H296+I296</f>
        <v>0</v>
      </c>
      <c r="K296" s="226">
        <v>0</v>
      </c>
    </row>
    <row r="297" spans="1:19" ht="18" customHeight="1">
      <c r="D297" s="226" t="s">
        <v>201</v>
      </c>
      <c r="E297" s="271"/>
      <c r="F297" s="271"/>
      <c r="G297" s="271"/>
      <c r="H297" s="271"/>
      <c r="I297" s="271"/>
      <c r="J297" s="271">
        <f>E297+F297+G297+H297+I297</f>
        <v>0</v>
      </c>
      <c r="K297" s="226">
        <v>0</v>
      </c>
    </row>
    <row r="298" spans="1:19" ht="18" customHeight="1">
      <c r="D298" s="226" t="s">
        <v>168</v>
      </c>
      <c r="E298" s="229">
        <f t="shared" ref="E298:J298" si="4">E295+E296+E297</f>
        <v>0</v>
      </c>
      <c r="F298" s="229">
        <f t="shared" si="4"/>
        <v>5</v>
      </c>
      <c r="G298" s="229">
        <f t="shared" si="4"/>
        <v>0</v>
      </c>
      <c r="H298" s="229">
        <f t="shared" si="4"/>
        <v>0</v>
      </c>
      <c r="I298" s="229">
        <f t="shared" si="4"/>
        <v>0</v>
      </c>
      <c r="J298" s="229">
        <f t="shared" si="4"/>
        <v>5</v>
      </c>
      <c r="K298" s="226">
        <f>SUM(K295:K297)</f>
        <v>9400.2999999999993</v>
      </c>
      <c r="N298" s="230"/>
      <c r="O298" s="230"/>
      <c r="P298" s="230"/>
      <c r="Q298" s="230"/>
      <c r="R298" s="230"/>
      <c r="S298" s="230"/>
    </row>
    <row r="299" spans="1:19" ht="18" customHeight="1">
      <c r="A299" s="498" t="s">
        <v>162</v>
      </c>
      <c r="B299" s="499"/>
      <c r="C299" s="500"/>
      <c r="D299" s="231" t="s">
        <v>161</v>
      </c>
      <c r="E299" s="490" t="s">
        <v>243</v>
      </c>
      <c r="F299" s="490"/>
      <c r="G299" s="491"/>
      <c r="H299" s="489" t="s">
        <v>347</v>
      </c>
      <c r="I299" s="490"/>
      <c r="J299" s="491"/>
    </row>
    <row r="300" spans="1:19" ht="18" customHeight="1">
      <c r="A300" s="492" t="s">
        <v>156</v>
      </c>
      <c r="B300" s="493"/>
      <c r="C300" s="494"/>
      <c r="D300" s="232" t="s">
        <v>463</v>
      </c>
      <c r="E300" s="222" t="s">
        <v>462</v>
      </c>
      <c r="F300" s="231" t="s">
        <v>191</v>
      </c>
      <c r="G300" s="222" t="s">
        <v>193</v>
      </c>
      <c r="H300" s="231" t="s">
        <v>192</v>
      </c>
      <c r="I300" s="232" t="s">
        <v>191</v>
      </c>
      <c r="J300" s="231" t="s">
        <v>190</v>
      </c>
    </row>
    <row r="301" spans="1:19" ht="18" customHeight="1">
      <c r="A301" s="233"/>
      <c r="B301" s="234"/>
      <c r="C301" s="235"/>
      <c r="D301" s="232" t="s">
        <v>116</v>
      </c>
      <c r="E301" s="222" t="s">
        <v>189</v>
      </c>
      <c r="F301" s="232" t="s">
        <v>402</v>
      </c>
      <c r="G301" s="222" t="s">
        <v>234</v>
      </c>
      <c r="H301" s="232" t="s">
        <v>459</v>
      </c>
      <c r="I301" s="232" t="s">
        <v>167</v>
      </c>
      <c r="J301" s="232" t="s">
        <v>167</v>
      </c>
    </row>
    <row r="302" spans="1:19" ht="18" customHeight="1">
      <c r="A302" s="233"/>
      <c r="B302" s="234"/>
      <c r="C302" s="235"/>
      <c r="D302" s="232"/>
      <c r="E302" s="222" t="s">
        <v>458</v>
      </c>
      <c r="F302" s="232" t="s">
        <v>457</v>
      </c>
      <c r="G302" s="222" t="s">
        <v>64</v>
      </c>
      <c r="H302" s="232" t="s">
        <v>167</v>
      </c>
      <c r="I302" s="222"/>
      <c r="J302" s="232"/>
    </row>
    <row r="303" spans="1:19" ht="18" customHeight="1">
      <c r="A303" s="233"/>
      <c r="B303" s="234"/>
      <c r="C303" s="235"/>
      <c r="D303" s="232"/>
      <c r="E303" s="222" t="s">
        <v>174</v>
      </c>
      <c r="F303" s="232" t="s">
        <v>174</v>
      </c>
      <c r="G303" s="222" t="s">
        <v>173</v>
      </c>
      <c r="H303" s="232"/>
      <c r="I303" s="222"/>
      <c r="J303" s="232"/>
    </row>
    <row r="304" spans="1:19" ht="18" customHeight="1">
      <c r="A304" s="233"/>
      <c r="B304" s="234"/>
      <c r="C304" s="235"/>
      <c r="D304" s="232"/>
      <c r="E304" s="222" t="s">
        <v>172</v>
      </c>
      <c r="F304" s="232" t="s">
        <v>172</v>
      </c>
      <c r="G304" s="222" t="s">
        <v>171</v>
      </c>
      <c r="H304" s="232"/>
      <c r="I304" s="222"/>
      <c r="J304" s="232"/>
    </row>
    <row r="305" spans="1:11" ht="18" customHeight="1">
      <c r="A305" s="236"/>
      <c r="B305" s="237"/>
      <c r="C305" s="238"/>
      <c r="D305" s="239"/>
      <c r="E305" s="240" t="s">
        <v>405</v>
      </c>
      <c r="F305" s="239" t="s">
        <v>405</v>
      </c>
      <c r="G305" s="240"/>
      <c r="H305" s="239"/>
      <c r="I305" s="240"/>
      <c r="J305" s="239"/>
    </row>
    <row r="306" spans="1:11" ht="18" customHeight="1">
      <c r="A306" s="497"/>
      <c r="B306" s="497"/>
      <c r="C306" s="497"/>
      <c r="D306" s="221"/>
      <c r="E306" s="221">
        <v>1</v>
      </c>
      <c r="F306" s="221">
        <v>2</v>
      </c>
      <c r="G306" s="221">
        <v>3</v>
      </c>
      <c r="H306" s="221">
        <v>4</v>
      </c>
      <c r="I306" s="221">
        <v>5</v>
      </c>
      <c r="J306" s="221">
        <v>6</v>
      </c>
    </row>
    <row r="307" spans="1:11" ht="18" customHeight="1">
      <c r="A307" s="120" t="s">
        <v>465</v>
      </c>
      <c r="B307" s="241"/>
      <c r="C307" s="242"/>
      <c r="D307" s="243"/>
      <c r="E307" s="229"/>
      <c r="F307" s="244"/>
      <c r="G307" s="229"/>
      <c r="H307" s="244"/>
      <c r="I307" s="229"/>
      <c r="J307" s="245"/>
    </row>
    <row r="308" spans="1:11" ht="18" customHeight="1">
      <c r="A308" s="246" t="s">
        <v>148</v>
      </c>
      <c r="B308" s="241"/>
      <c r="C308" s="242"/>
      <c r="D308" s="247" t="s">
        <v>43</v>
      </c>
      <c r="E308" s="271"/>
      <c r="F308" s="248">
        <f>ROUND(G308*1.01,0)-60.4</f>
        <v>9433.6</v>
      </c>
      <c r="G308" s="271">
        <f>ROUND(K298,0)</f>
        <v>9400</v>
      </c>
      <c r="H308" s="248" t="e">
        <f>E308*1000/H291</f>
        <v>#REF!</v>
      </c>
      <c r="I308" s="271" t="e">
        <f>F308*1000/H291</f>
        <v>#REF!</v>
      </c>
      <c r="J308" s="249" t="e">
        <f>G308*1000/H291</f>
        <v>#REF!</v>
      </c>
      <c r="K308" s="226">
        <f>G308/J298</f>
        <v>1880</v>
      </c>
    </row>
    <row r="309" spans="1:11" ht="18" customHeight="1">
      <c r="A309" s="246" t="s">
        <v>42</v>
      </c>
      <c r="B309" s="241"/>
      <c r="C309" s="242"/>
      <c r="D309" s="247" t="s">
        <v>25</v>
      </c>
      <c r="E309" s="271"/>
      <c r="F309" s="248" t="e">
        <f>ROUND(G309*1.03,0)</f>
        <v>#REF!</v>
      </c>
      <c r="G309" s="271" t="e">
        <f>R363</f>
        <v>#REF!</v>
      </c>
      <c r="H309" s="247" t="e">
        <f>E309*1000/H291</f>
        <v>#REF!</v>
      </c>
      <c r="I309" s="271" t="e">
        <f>F309*1000/H291</f>
        <v>#REF!</v>
      </c>
      <c r="J309" s="249" t="e">
        <f>G309*1000/H291</f>
        <v>#REF!</v>
      </c>
    </row>
    <row r="310" spans="1:11" ht="18" customHeight="1">
      <c r="A310" s="250" t="s">
        <v>24</v>
      </c>
      <c r="B310" s="251"/>
      <c r="C310" s="252"/>
      <c r="D310" s="243"/>
      <c r="E310" s="229"/>
      <c r="F310" s="244"/>
      <c r="G310" s="243"/>
      <c r="H310" s="243"/>
      <c r="I310" s="229"/>
      <c r="J310" s="245"/>
    </row>
    <row r="311" spans="1:11" ht="18" customHeight="1">
      <c r="A311" s="236" t="s">
        <v>372</v>
      </c>
      <c r="B311" s="237"/>
      <c r="C311" s="238"/>
      <c r="D311" s="253" t="s">
        <v>137</v>
      </c>
      <c r="E311" s="254"/>
      <c r="F311" s="248">
        <f>G311</f>
        <v>1938.6</v>
      </c>
      <c r="G311" s="271">
        <v>1938.6</v>
      </c>
      <c r="H311" s="255" t="e">
        <f>E311*1000/H291</f>
        <v>#REF!</v>
      </c>
      <c r="I311" s="256" t="e">
        <f>F311*1000/H291</f>
        <v>#REF!</v>
      </c>
      <c r="J311" s="257" t="e">
        <f>G311*1000/H291</f>
        <v>#REF!</v>
      </c>
    </row>
    <row r="312" spans="1:11" ht="18" customHeight="1">
      <c r="A312" s="250" t="s">
        <v>372</v>
      </c>
      <c r="B312" s="251"/>
      <c r="C312" s="252"/>
      <c r="E312" s="256"/>
      <c r="G312" s="255"/>
      <c r="H312" s="243"/>
      <c r="I312" s="229"/>
      <c r="J312" s="245"/>
    </row>
    <row r="313" spans="1:11" ht="18" customHeight="1">
      <c r="A313" s="233" t="s">
        <v>60</v>
      </c>
      <c r="B313" s="234"/>
      <c r="C313" s="235"/>
      <c r="E313" s="256"/>
      <c r="G313" s="255"/>
      <c r="H313" s="255"/>
      <c r="I313" s="256"/>
      <c r="J313" s="257"/>
    </row>
    <row r="314" spans="1:11" ht="18" customHeight="1">
      <c r="A314" s="236" t="s">
        <v>59</v>
      </c>
      <c r="B314" s="237"/>
      <c r="C314" s="238"/>
      <c r="D314" s="226" t="s">
        <v>29</v>
      </c>
      <c r="E314" s="256">
        <f>E308+E309-E311</f>
        <v>0</v>
      </c>
      <c r="F314" s="256" t="e">
        <f>F308+F309-F311</f>
        <v>#REF!</v>
      </c>
      <c r="G314" s="255" t="e">
        <f>G308+G309-G311</f>
        <v>#REF!</v>
      </c>
      <c r="H314" s="253" t="e">
        <f>E314*1000/H291</f>
        <v>#REF!</v>
      </c>
      <c r="I314" s="254" t="e">
        <f>F314*1000/H291</f>
        <v>#REF!</v>
      </c>
      <c r="J314" s="258" t="e">
        <f>G314*1000/H291</f>
        <v>#REF!</v>
      </c>
    </row>
    <row r="315" spans="1:11" ht="18" customHeight="1">
      <c r="A315" s="121" t="s">
        <v>28</v>
      </c>
      <c r="B315" s="122"/>
      <c r="C315" s="123"/>
      <c r="D315" s="247"/>
      <c r="E315" s="271"/>
      <c r="F315" s="248"/>
      <c r="G315" s="271"/>
      <c r="H315" s="259"/>
      <c r="I315" s="254"/>
      <c r="J315" s="258"/>
    </row>
    <row r="316" spans="1:11" ht="18" customHeight="1">
      <c r="A316" s="246" t="s">
        <v>27</v>
      </c>
      <c r="B316" s="241"/>
      <c r="C316" s="242"/>
      <c r="D316" s="247" t="s">
        <v>41</v>
      </c>
      <c r="E316" s="271"/>
      <c r="F316" s="248">
        <f>ROUND(G316*1.03,0)</f>
        <v>84</v>
      </c>
      <c r="G316" s="271">
        <v>82</v>
      </c>
      <c r="H316" s="244" t="e">
        <f>E316*1000/H291</f>
        <v>#REF!</v>
      </c>
      <c r="I316" s="229" t="e">
        <f>F316*1000/H291</f>
        <v>#REF!</v>
      </c>
      <c r="J316" s="245" t="e">
        <f>G316*1000/H291</f>
        <v>#REF!</v>
      </c>
    </row>
    <row r="317" spans="1:11" ht="18" customHeight="1">
      <c r="A317" s="250" t="s">
        <v>399</v>
      </c>
      <c r="B317" s="251"/>
      <c r="C317" s="252"/>
      <c r="E317" s="229"/>
      <c r="G317" s="243"/>
      <c r="H317" s="243"/>
      <c r="I317" s="229"/>
      <c r="J317" s="245"/>
    </row>
    <row r="318" spans="1:11" ht="18" customHeight="1">
      <c r="A318" s="233" t="s">
        <v>398</v>
      </c>
      <c r="B318" s="234"/>
      <c r="C318" s="235"/>
      <c r="E318" s="256"/>
      <c r="G318" s="255"/>
      <c r="H318" s="255"/>
      <c r="I318" s="256"/>
      <c r="J318" s="257"/>
    </row>
    <row r="319" spans="1:11" ht="18" customHeight="1">
      <c r="A319" s="236" t="s">
        <v>397</v>
      </c>
      <c r="B319" s="237"/>
      <c r="C319" s="238"/>
      <c r="D319" s="226" t="s">
        <v>346</v>
      </c>
      <c r="E319" s="256"/>
      <c r="F319" s="248">
        <f>ROUND(G319*1.03,0)</f>
        <v>21</v>
      </c>
      <c r="G319" s="271">
        <v>20</v>
      </c>
      <c r="H319" s="255" t="e">
        <f>E319*1000/H291</f>
        <v>#REF!</v>
      </c>
      <c r="I319" s="256" t="e">
        <f>F319*1000/H291</f>
        <v>#REF!</v>
      </c>
      <c r="J319" s="257" t="e">
        <f>G319*1000/H291</f>
        <v>#REF!</v>
      </c>
    </row>
    <row r="320" spans="1:11" ht="17.25" customHeight="1">
      <c r="A320" s="250" t="s">
        <v>343</v>
      </c>
      <c r="B320" s="251"/>
      <c r="C320" s="252"/>
      <c r="D320" s="243"/>
      <c r="E320" s="229"/>
      <c r="F320" s="244"/>
      <c r="G320" s="256"/>
      <c r="H320" s="243"/>
      <c r="I320" s="229"/>
      <c r="J320" s="245"/>
    </row>
    <row r="321" spans="1:10" ht="17.25" customHeight="1">
      <c r="A321" s="236" t="s">
        <v>342</v>
      </c>
      <c r="B321" s="237"/>
      <c r="C321" s="238"/>
      <c r="D321" s="253" t="s">
        <v>341</v>
      </c>
      <c r="E321" s="254"/>
      <c r="F321" s="248">
        <f>ROUND(G321*1.03,0)</f>
        <v>5</v>
      </c>
      <c r="G321" s="248">
        <f>ROUND(G319*0.25,0)</f>
        <v>5</v>
      </c>
      <c r="H321" s="253" t="e">
        <f>E321*1000/H291</f>
        <v>#REF!</v>
      </c>
      <c r="I321" s="254" t="e">
        <f>F321*1000/H291</f>
        <v>#REF!</v>
      </c>
      <c r="J321" s="258" t="e">
        <f>G321*1000/H291</f>
        <v>#REF!</v>
      </c>
    </row>
    <row r="322" spans="1:10" ht="17.25" customHeight="1">
      <c r="A322" s="233" t="s">
        <v>340</v>
      </c>
      <c r="B322" s="234"/>
      <c r="C322" s="235"/>
      <c r="E322" s="256"/>
      <c r="G322" s="255"/>
      <c r="H322" s="255"/>
      <c r="I322" s="256"/>
      <c r="J322" s="257"/>
    </row>
    <row r="323" spans="1:10" ht="17.25" customHeight="1">
      <c r="A323" s="236" t="s">
        <v>339</v>
      </c>
      <c r="B323" s="237"/>
      <c r="C323" s="238"/>
      <c r="D323" s="226" t="s">
        <v>183</v>
      </c>
      <c r="E323" s="256"/>
      <c r="F323" s="248">
        <f>ROUND(G323*1.03,0)</f>
        <v>62</v>
      </c>
      <c r="G323" s="271">
        <v>60</v>
      </c>
      <c r="H323" s="253" t="e">
        <f>E323*1000/H291</f>
        <v>#REF!</v>
      </c>
      <c r="I323" s="254" t="e">
        <f>F323*1000/H291</f>
        <v>#REF!</v>
      </c>
      <c r="J323" s="258" t="e">
        <f>G323*1000/H291</f>
        <v>#REF!</v>
      </c>
    </row>
    <row r="324" spans="1:10" ht="17.25" customHeight="1">
      <c r="A324" s="250" t="s">
        <v>182</v>
      </c>
      <c r="B324" s="251"/>
      <c r="C324" s="252"/>
      <c r="D324" s="243"/>
      <c r="E324" s="229"/>
      <c r="F324" s="244"/>
      <c r="G324" s="229"/>
      <c r="H324" s="230"/>
      <c r="I324" s="256"/>
      <c r="J324" s="256"/>
    </row>
    <row r="325" spans="1:10" ht="17.25" customHeight="1">
      <c r="A325" s="236" t="s">
        <v>232</v>
      </c>
      <c r="B325" s="237"/>
      <c r="C325" s="238"/>
      <c r="D325" s="253" t="s">
        <v>476</v>
      </c>
      <c r="E325" s="254">
        <f>E316+E319+E321+E323</f>
        <v>0</v>
      </c>
      <c r="F325" s="254">
        <f>F316+F319+F321+F323</f>
        <v>172</v>
      </c>
      <c r="G325" s="254">
        <f>G316+G319+G321+G323</f>
        <v>167</v>
      </c>
      <c r="H325" s="254" t="e">
        <f>E325*1000/H291</f>
        <v>#REF!</v>
      </c>
      <c r="I325" s="254" t="e">
        <f>F325*1000/H291</f>
        <v>#REF!</v>
      </c>
      <c r="J325" s="254" t="e">
        <f>G325*1000/H291</f>
        <v>#REF!</v>
      </c>
    </row>
    <row r="326" spans="1:10" ht="17.25" customHeight="1">
      <c r="A326" s="233"/>
      <c r="B326" s="234"/>
      <c r="C326" s="235"/>
      <c r="D326" s="230"/>
      <c r="E326" s="256"/>
      <c r="F326" s="230"/>
      <c r="G326" s="229"/>
      <c r="H326" s="230"/>
      <c r="I326" s="256"/>
      <c r="J326" s="256"/>
    </row>
    <row r="327" spans="1:10" ht="17.25" customHeight="1">
      <c r="A327" s="233" t="s">
        <v>76</v>
      </c>
      <c r="B327" s="234"/>
      <c r="C327" s="235"/>
      <c r="D327" s="230"/>
      <c r="E327" s="256"/>
      <c r="F327" s="230"/>
      <c r="G327" s="256"/>
      <c r="H327" s="230"/>
      <c r="I327" s="254" t="e">
        <f>F327*1000/H291</f>
        <v>#REF!</v>
      </c>
      <c r="J327" s="254" t="e">
        <f>G327*1000/I291</f>
        <v>#DIV/0!</v>
      </c>
    </row>
    <row r="328" spans="1:10" ht="17.25" customHeight="1">
      <c r="A328" s="250" t="s">
        <v>475</v>
      </c>
      <c r="B328" s="251"/>
      <c r="C328" s="252"/>
      <c r="E328" s="256"/>
      <c r="G328" s="256"/>
      <c r="I328" s="256"/>
      <c r="J328" s="256"/>
    </row>
    <row r="329" spans="1:10" ht="17.25" customHeight="1">
      <c r="A329" s="233" t="s">
        <v>330</v>
      </c>
      <c r="B329" s="234"/>
      <c r="C329" s="235"/>
      <c r="D329" s="226" t="s">
        <v>329</v>
      </c>
      <c r="E329" s="256">
        <f>E314+E325</f>
        <v>0</v>
      </c>
      <c r="F329" s="255" t="e">
        <f>F314+F325+F327</f>
        <v>#REF!</v>
      </c>
      <c r="G329" s="254" t="e">
        <f>G314+G325+G327</f>
        <v>#REF!</v>
      </c>
      <c r="H329" s="257" t="e">
        <f>E329*1000/H291</f>
        <v>#REF!</v>
      </c>
      <c r="I329" s="256" t="e">
        <f>F329*1000/H291</f>
        <v>#REF!</v>
      </c>
      <c r="J329" s="256" t="e">
        <f>G329*1000/H291</f>
        <v>#REF!</v>
      </c>
    </row>
    <row r="330" spans="1:10" ht="17.25" customHeight="1">
      <c r="A330" s="250" t="s">
        <v>328</v>
      </c>
      <c r="B330" s="251"/>
      <c r="C330" s="252"/>
      <c r="D330" s="243"/>
      <c r="E330" s="229"/>
      <c r="F330" s="244"/>
      <c r="G330" s="229"/>
      <c r="H330" s="243"/>
      <c r="I330" s="229"/>
      <c r="J330" s="245"/>
    </row>
    <row r="331" spans="1:10" ht="17.25" customHeight="1">
      <c r="A331" s="236" t="s">
        <v>207</v>
      </c>
      <c r="B331" s="237"/>
      <c r="C331" s="238"/>
      <c r="D331" s="253" t="s">
        <v>354</v>
      </c>
      <c r="E331" s="254"/>
      <c r="F331" s="259" t="e">
        <f>'Вспом-1'!D14</f>
        <v>#REF!</v>
      </c>
      <c r="G331" s="254" t="e">
        <f>'Вспом-1'!E14</f>
        <v>#REF!</v>
      </c>
      <c r="H331" s="253" t="e">
        <f>E331*1000/H291</f>
        <v>#REF!</v>
      </c>
      <c r="I331" s="254" t="e">
        <f>F331*1000/H291</f>
        <v>#REF!</v>
      </c>
      <c r="J331" s="258" t="e">
        <f>G331*1000/H291</f>
        <v>#REF!</v>
      </c>
    </row>
    <row r="332" spans="1:10" ht="17.25" customHeight="1">
      <c r="A332" s="234"/>
      <c r="B332" s="234"/>
      <c r="C332" s="234"/>
      <c r="D332" s="230"/>
      <c r="E332" s="230"/>
      <c r="F332" s="260" t="e">
        <f>'Вспом-1'!G14-F329</f>
        <v>#REF!</v>
      </c>
      <c r="G332" s="260" t="e">
        <f>#REF!-'73-ХЛ'!G329</f>
        <v>#REF!</v>
      </c>
      <c r="H332" s="230"/>
      <c r="I332" s="230"/>
      <c r="J332" s="230"/>
    </row>
    <row r="333" spans="1:10">
      <c r="J333" s="226"/>
    </row>
    <row r="334" spans="1:10">
      <c r="J334" s="226"/>
    </row>
    <row r="335" spans="1:10">
      <c r="J335" s="226"/>
    </row>
    <row r="336" spans="1:10">
      <c r="J336" s="226"/>
    </row>
    <row r="337" spans="1:14">
      <c r="J337" s="226"/>
    </row>
    <row r="338" spans="1:14">
      <c r="J338" s="226"/>
    </row>
    <row r="339" spans="1:14">
      <c r="J339" s="226"/>
    </row>
    <row r="340" spans="1:14">
      <c r="J340" s="226"/>
    </row>
    <row r="341" spans="1:14">
      <c r="J341" s="226"/>
    </row>
    <row r="342" spans="1:14">
      <c r="J342" s="226"/>
    </row>
    <row r="343" spans="1:14">
      <c r="J343" s="226"/>
    </row>
    <row r="344" spans="1:14">
      <c r="J344" s="226"/>
    </row>
    <row r="345" spans="1:14" ht="17.25" customHeight="1">
      <c r="A345" s="205" t="s">
        <v>317</v>
      </c>
      <c r="E345" s="226" t="s">
        <v>233</v>
      </c>
      <c r="I345" s="226" t="e">
        <f>H72+H129+H182+H237+H291</f>
        <v>#REF!</v>
      </c>
      <c r="J345" s="226"/>
    </row>
    <row r="346" spans="1:14" ht="17.25" customHeight="1">
      <c r="E346" s="226" t="s">
        <v>227</v>
      </c>
      <c r="H346" s="226">
        <f>H73+H130+H183+H238+H292</f>
        <v>13564</v>
      </c>
      <c r="J346" s="226"/>
    </row>
    <row r="347" spans="1:14" ht="17.25" customHeight="1">
      <c r="E347" s="226" t="s">
        <v>226</v>
      </c>
      <c r="J347" s="226"/>
    </row>
    <row r="348" spans="1:14" ht="17.25" customHeight="1">
      <c r="E348" s="271" t="s">
        <v>498</v>
      </c>
      <c r="F348" s="271" t="s">
        <v>497</v>
      </c>
      <c r="G348" s="271" t="s">
        <v>496</v>
      </c>
      <c r="H348" s="271" t="s">
        <v>495</v>
      </c>
      <c r="I348" s="271" t="s">
        <v>494</v>
      </c>
      <c r="J348" s="271" t="s">
        <v>168</v>
      </c>
    </row>
    <row r="349" spans="1:14" ht="17.25" customHeight="1">
      <c r="D349" s="226" t="s">
        <v>493</v>
      </c>
      <c r="E349" s="271">
        <f t="shared" ref="E349:I351" si="5">E76+E133+E186+E241+E295</f>
        <v>11302</v>
      </c>
      <c r="F349" s="271">
        <f t="shared" si="5"/>
        <v>429</v>
      </c>
      <c r="G349" s="271">
        <f t="shared" si="5"/>
        <v>0</v>
      </c>
      <c r="H349" s="271">
        <f t="shared" si="5"/>
        <v>0</v>
      </c>
      <c r="I349" s="271">
        <f t="shared" si="5"/>
        <v>0</v>
      </c>
      <c r="J349" s="271">
        <f>E349+F349+G349+H349+I349</f>
        <v>11731</v>
      </c>
    </row>
    <row r="350" spans="1:14" ht="17.25" customHeight="1">
      <c r="D350" s="226" t="s">
        <v>56</v>
      </c>
      <c r="E350" s="271">
        <f t="shared" si="5"/>
        <v>1833</v>
      </c>
      <c r="F350" s="271">
        <f t="shared" si="5"/>
        <v>0</v>
      </c>
      <c r="G350" s="271">
        <f t="shared" si="5"/>
        <v>0</v>
      </c>
      <c r="H350" s="271">
        <f t="shared" si="5"/>
        <v>0</v>
      </c>
      <c r="I350" s="271">
        <f t="shared" si="5"/>
        <v>0</v>
      </c>
      <c r="J350" s="271">
        <f>E350+F350+G350+H350+I350</f>
        <v>1833</v>
      </c>
    </row>
    <row r="351" spans="1:14" ht="17.25" customHeight="1">
      <c r="D351" s="226" t="s">
        <v>201</v>
      </c>
      <c r="E351" s="271">
        <f t="shared" si="5"/>
        <v>0</v>
      </c>
      <c r="F351" s="271">
        <f t="shared" si="5"/>
        <v>0</v>
      </c>
      <c r="G351" s="271">
        <f t="shared" si="5"/>
        <v>0</v>
      </c>
      <c r="H351" s="271">
        <f t="shared" si="5"/>
        <v>0</v>
      </c>
      <c r="I351" s="271">
        <f t="shared" si="5"/>
        <v>0</v>
      </c>
      <c r="J351" s="271">
        <f>E351+F351+G351+H351+I351</f>
        <v>0</v>
      </c>
    </row>
    <row r="352" spans="1:14" ht="17.25" customHeight="1">
      <c r="D352" s="226" t="s">
        <v>168</v>
      </c>
      <c r="E352" s="229">
        <f t="shared" ref="E352:J352" si="6">E349+E350+E351</f>
        <v>13135</v>
      </c>
      <c r="F352" s="229">
        <f t="shared" si="6"/>
        <v>429</v>
      </c>
      <c r="G352" s="229">
        <f t="shared" si="6"/>
        <v>0</v>
      </c>
      <c r="H352" s="229">
        <f t="shared" si="6"/>
        <v>0</v>
      </c>
      <c r="I352" s="229">
        <f t="shared" si="6"/>
        <v>0</v>
      </c>
      <c r="J352" s="229">
        <f t="shared" si="6"/>
        <v>13564</v>
      </c>
      <c r="N352" s="226"/>
    </row>
    <row r="353" spans="1:30" ht="17.25" customHeight="1">
      <c r="A353" s="498" t="s">
        <v>162</v>
      </c>
      <c r="B353" s="499"/>
      <c r="C353" s="500"/>
      <c r="D353" s="231" t="s">
        <v>161</v>
      </c>
      <c r="E353" s="490" t="s">
        <v>228</v>
      </c>
      <c r="F353" s="490"/>
      <c r="G353" s="491"/>
      <c r="H353" s="489" t="s">
        <v>347</v>
      </c>
      <c r="I353" s="490"/>
      <c r="J353" s="491"/>
    </row>
    <row r="354" spans="1:30" ht="17.25" customHeight="1">
      <c r="A354" s="492" t="s">
        <v>156</v>
      </c>
      <c r="B354" s="493"/>
      <c r="C354" s="494"/>
      <c r="D354" s="232" t="s">
        <v>463</v>
      </c>
      <c r="E354" s="222" t="s">
        <v>462</v>
      </c>
      <c r="F354" s="231" t="s">
        <v>191</v>
      </c>
      <c r="G354" s="222" t="s">
        <v>193</v>
      </c>
      <c r="H354" s="231" t="s">
        <v>192</v>
      </c>
      <c r="I354" s="232" t="s">
        <v>191</v>
      </c>
      <c r="J354" s="231" t="s">
        <v>190</v>
      </c>
    </row>
    <row r="355" spans="1:30" ht="17.25" customHeight="1">
      <c r="A355" s="233"/>
      <c r="B355" s="234"/>
      <c r="C355" s="235"/>
      <c r="D355" s="232" t="s">
        <v>116</v>
      </c>
      <c r="E355" s="222" t="s">
        <v>189</v>
      </c>
      <c r="F355" s="232" t="s">
        <v>402</v>
      </c>
      <c r="G355" s="222" t="s">
        <v>234</v>
      </c>
      <c r="H355" s="232" t="s">
        <v>459</v>
      </c>
      <c r="I355" s="232" t="s">
        <v>167</v>
      </c>
      <c r="J355" s="232" t="s">
        <v>167</v>
      </c>
    </row>
    <row r="356" spans="1:30" ht="17.25" customHeight="1">
      <c r="A356" s="233"/>
      <c r="B356" s="234"/>
      <c r="C356" s="235"/>
      <c r="D356" s="232"/>
      <c r="E356" s="222" t="s">
        <v>458</v>
      </c>
      <c r="F356" s="232" t="s">
        <v>457</v>
      </c>
      <c r="G356" s="222" t="s">
        <v>64</v>
      </c>
      <c r="H356" s="232" t="s">
        <v>167</v>
      </c>
      <c r="I356" s="222"/>
      <c r="J356" s="232"/>
    </row>
    <row r="357" spans="1:30" ht="17.25" customHeight="1">
      <c r="A357" s="233"/>
      <c r="B357" s="234"/>
      <c r="C357" s="235"/>
      <c r="D357" s="232"/>
      <c r="E357" s="222" t="s">
        <v>174</v>
      </c>
      <c r="F357" s="232" t="s">
        <v>174</v>
      </c>
      <c r="G357" s="222" t="s">
        <v>173</v>
      </c>
      <c r="H357" s="232"/>
      <c r="I357" s="222"/>
      <c r="J357" s="232"/>
    </row>
    <row r="358" spans="1:30" ht="17.25" customHeight="1">
      <c r="A358" s="233"/>
      <c r="B358" s="234"/>
      <c r="C358" s="235"/>
      <c r="D358" s="232"/>
      <c r="E358" s="222" t="s">
        <v>172</v>
      </c>
      <c r="F358" s="232" t="s">
        <v>172</v>
      </c>
      <c r="G358" s="222" t="s">
        <v>171</v>
      </c>
      <c r="H358" s="232"/>
      <c r="I358" s="222"/>
      <c r="J358" s="232"/>
    </row>
    <row r="359" spans="1:30" ht="17.25" customHeight="1">
      <c r="A359" s="236"/>
      <c r="B359" s="237"/>
      <c r="C359" s="238"/>
      <c r="D359" s="239"/>
      <c r="E359" s="240" t="s">
        <v>405</v>
      </c>
      <c r="F359" s="239" t="s">
        <v>405</v>
      </c>
      <c r="G359" s="240"/>
      <c r="H359" s="239"/>
      <c r="I359" s="240"/>
      <c r="J359" s="239"/>
      <c r="N359" s="262" t="s">
        <v>318</v>
      </c>
      <c r="O359" s="262" t="s">
        <v>319</v>
      </c>
      <c r="P359" s="262" t="s">
        <v>320</v>
      </c>
      <c r="Q359" s="262" t="s">
        <v>321</v>
      </c>
      <c r="R359" s="262" t="s">
        <v>322</v>
      </c>
    </row>
    <row r="360" spans="1:30" ht="17.25" customHeight="1">
      <c r="A360" s="497"/>
      <c r="B360" s="497"/>
      <c r="C360" s="497"/>
      <c r="D360" s="221"/>
      <c r="E360" s="221">
        <v>1</v>
      </c>
      <c r="F360" s="221">
        <v>2</v>
      </c>
      <c r="G360" s="221">
        <v>3</v>
      </c>
      <c r="H360" s="221">
        <v>4</v>
      </c>
      <c r="I360" s="221">
        <v>5</v>
      </c>
      <c r="J360" s="221">
        <v>6</v>
      </c>
      <c r="N360" s="263" t="e">
        <f>H72/I345</f>
        <v>#REF!</v>
      </c>
      <c r="O360" s="263" t="e">
        <f>H129/I345</f>
        <v>#REF!</v>
      </c>
      <c r="P360" s="263" t="e">
        <f>H182/I345</f>
        <v>#REF!</v>
      </c>
      <c r="Q360" s="263">
        <f>H352/$J$352</f>
        <v>0</v>
      </c>
      <c r="R360" s="263">
        <f>I352/$J$352</f>
        <v>0</v>
      </c>
    </row>
    <row r="361" spans="1:30" ht="17.25" customHeight="1">
      <c r="A361" s="120" t="s">
        <v>465</v>
      </c>
      <c r="B361" s="241"/>
      <c r="C361" s="242"/>
      <c r="D361" s="243"/>
      <c r="E361" s="271"/>
      <c r="F361" s="244"/>
      <c r="G361" s="229"/>
      <c r="H361" s="244"/>
      <c r="I361" s="229"/>
      <c r="J361" s="245"/>
      <c r="N361" s="226">
        <v>1</v>
      </c>
      <c r="O361" s="226">
        <v>2</v>
      </c>
      <c r="P361" s="226">
        <v>3</v>
      </c>
      <c r="Q361" s="226">
        <v>4</v>
      </c>
      <c r="R361" s="226">
        <v>5</v>
      </c>
      <c r="T361" s="226"/>
    </row>
    <row r="362" spans="1:30" ht="17.25" customHeight="1">
      <c r="A362" s="246" t="s">
        <v>148</v>
      </c>
      <c r="B362" s="241"/>
      <c r="C362" s="242"/>
      <c r="D362" s="247" t="s">
        <v>43</v>
      </c>
      <c r="E362" s="253">
        <f t="shared" ref="E362:G363" si="7">E89+E146+E199+E254+E308</f>
        <v>0</v>
      </c>
      <c r="F362" s="271">
        <f t="shared" si="7"/>
        <v>24616047.600000001</v>
      </c>
      <c r="G362" s="271">
        <f>G89+G146+G199+G254+G308</f>
        <v>24339820.699999999</v>
      </c>
      <c r="H362" s="271" t="e">
        <f>E362*1000/I345</f>
        <v>#REF!</v>
      </c>
      <c r="I362" s="271" t="e">
        <f>F362*1000/I345</f>
        <v>#REF!</v>
      </c>
      <c r="J362" s="271" t="e">
        <f>G362*1000/I345</f>
        <v>#REF!</v>
      </c>
      <c r="K362" s="226" t="e">
        <f>#REF!</f>
        <v>#REF!</v>
      </c>
      <c r="L362" s="226" t="e">
        <f>G362-K362</f>
        <v>#REF!</v>
      </c>
      <c r="M362" s="270"/>
      <c r="N362" s="226" t="e">
        <f>#REF!</f>
        <v>#REF!</v>
      </c>
      <c r="O362" s="226" t="e">
        <f>#REF!</f>
        <v>#REF!</v>
      </c>
      <c r="P362" s="226" t="e">
        <f>#REF!</f>
        <v>#REF!</v>
      </c>
      <c r="Q362" s="226" t="e">
        <f>#REF!</f>
        <v>#REF!</v>
      </c>
      <c r="R362" s="226" t="e">
        <f>#REF!</f>
        <v>#REF!</v>
      </c>
      <c r="S362" s="226"/>
      <c r="T362" s="226"/>
      <c r="U362" s="264"/>
    </row>
    <row r="363" spans="1:30" ht="17.25" customHeight="1">
      <c r="A363" s="246" t="s">
        <v>42</v>
      </c>
      <c r="B363" s="241"/>
      <c r="C363" s="242"/>
      <c r="D363" s="247" t="s">
        <v>25</v>
      </c>
      <c r="E363" s="253">
        <f t="shared" si="7"/>
        <v>0</v>
      </c>
      <c r="F363" s="253" t="e">
        <f t="shared" si="7"/>
        <v>#REF!</v>
      </c>
      <c r="G363" s="253" t="e">
        <f t="shared" si="7"/>
        <v>#REF!</v>
      </c>
      <c r="H363" s="271" t="e">
        <f>E363*1000/I345</f>
        <v>#REF!</v>
      </c>
      <c r="I363" s="271" t="e">
        <f>F363*1000/I345</f>
        <v>#REF!</v>
      </c>
      <c r="J363" s="271" t="e">
        <f>G363*1000/I345</f>
        <v>#REF!</v>
      </c>
      <c r="K363" s="226" t="e">
        <f>#REF!</f>
        <v>#REF!</v>
      </c>
      <c r="L363" s="226" t="e">
        <f>G363-K363</f>
        <v>#REF!</v>
      </c>
      <c r="N363" s="226" t="e">
        <f>ROUND(K363*$N$360,0)</f>
        <v>#REF!</v>
      </c>
      <c r="O363" s="226" t="e">
        <f>ROUND(K363*$O$360,0)</f>
        <v>#REF!</v>
      </c>
      <c r="P363" s="226" t="e">
        <f>ROUND(K363*$P$360,0)</f>
        <v>#REF!</v>
      </c>
      <c r="Q363" s="226" t="e">
        <f>ROUND(K363*$Q$360,0)</f>
        <v>#REF!</v>
      </c>
      <c r="R363" s="226" t="e">
        <f>ROUND(K363*$R$360,0)</f>
        <v>#REF!</v>
      </c>
      <c r="T363" s="226"/>
      <c r="U363" s="264"/>
      <c r="AD363" s="226"/>
    </row>
    <row r="364" spans="1:30" ht="17.25" customHeight="1">
      <c r="A364" s="250" t="s">
        <v>24</v>
      </c>
      <c r="B364" s="251"/>
      <c r="C364" s="252"/>
      <c r="D364" s="243"/>
      <c r="E364" s="243"/>
      <c r="F364" s="229"/>
      <c r="G364" s="229"/>
      <c r="H364" s="244"/>
      <c r="I364" s="229"/>
      <c r="J364" s="245"/>
      <c r="N364" s="226"/>
      <c r="O364" s="226"/>
      <c r="P364" s="226"/>
      <c r="Q364" s="226"/>
      <c r="R364" s="226"/>
      <c r="T364" s="226"/>
      <c r="U364" s="264"/>
    </row>
    <row r="365" spans="1:30" ht="17.25" customHeight="1">
      <c r="A365" s="236" t="s">
        <v>372</v>
      </c>
      <c r="B365" s="237"/>
      <c r="C365" s="238"/>
      <c r="D365" s="253" t="s">
        <v>137</v>
      </c>
      <c r="E365" s="253">
        <f>E92+E149+E202+E257+E311</f>
        <v>0</v>
      </c>
      <c r="F365" s="253" t="e">
        <f>F92+F149+F202+F257+F311</f>
        <v>#REF!</v>
      </c>
      <c r="G365" s="254" t="e">
        <f>G92+G149+G202+G257+G311</f>
        <v>#REF!</v>
      </c>
      <c r="H365" s="230" t="e">
        <f>E365*1000/I345</f>
        <v>#REF!</v>
      </c>
      <c r="I365" s="256" t="e">
        <f>F365*1000/I345</f>
        <v>#REF!</v>
      </c>
      <c r="J365" s="257" t="e">
        <f>G365*1000/I345</f>
        <v>#REF!</v>
      </c>
      <c r="K365" s="226" t="e">
        <f>#REF!</f>
        <v>#REF!</v>
      </c>
      <c r="L365" s="226" t="e">
        <f>G365-K365</f>
        <v>#REF!</v>
      </c>
      <c r="M365" s="270" t="e">
        <f>K365/$K$362*100</f>
        <v>#REF!</v>
      </c>
      <c r="N365" s="226" t="e">
        <f>ROUND(K365*$N$360,0)+1</f>
        <v>#REF!</v>
      </c>
      <c r="O365" s="226" t="e">
        <f>ROUND(K365*$O$360,0)</f>
        <v>#REF!</v>
      </c>
      <c r="P365" s="226" t="e">
        <f>ROUND(K365*$P$360,0)</f>
        <v>#REF!</v>
      </c>
      <c r="Q365" s="226" t="e">
        <f>ROUND(K365*$Q$360,0)</f>
        <v>#REF!</v>
      </c>
      <c r="R365" s="226" t="e">
        <f>ROUND(K365*$R$360,0)</f>
        <v>#REF!</v>
      </c>
      <c r="T365" s="226"/>
      <c r="U365" s="264"/>
    </row>
    <row r="366" spans="1:30" ht="17.25" customHeight="1">
      <c r="A366" s="250" t="s">
        <v>372</v>
      </c>
      <c r="B366" s="251"/>
      <c r="C366" s="252"/>
      <c r="E366" s="256"/>
      <c r="G366" s="256"/>
      <c r="H366" s="244"/>
      <c r="I366" s="229"/>
      <c r="J366" s="245"/>
      <c r="N366" s="226"/>
      <c r="O366" s="226"/>
      <c r="P366" s="226"/>
      <c r="Q366" s="226"/>
      <c r="R366" s="226"/>
      <c r="T366" s="226"/>
      <c r="U366" s="264"/>
    </row>
    <row r="367" spans="1:30" ht="17.25" customHeight="1">
      <c r="A367" s="233" t="s">
        <v>60</v>
      </c>
      <c r="B367" s="234"/>
      <c r="C367" s="235"/>
      <c r="E367" s="256"/>
      <c r="G367" s="256"/>
      <c r="H367" s="230"/>
      <c r="I367" s="256"/>
      <c r="J367" s="257"/>
      <c r="N367" s="226"/>
      <c r="O367" s="226"/>
      <c r="P367" s="226"/>
      <c r="Q367" s="226"/>
      <c r="R367" s="226"/>
      <c r="T367" s="226"/>
    </row>
    <row r="368" spans="1:30" ht="17.25" customHeight="1">
      <c r="A368" s="236" t="s">
        <v>59</v>
      </c>
      <c r="B368" s="237"/>
      <c r="C368" s="238"/>
      <c r="D368" s="226" t="s">
        <v>29</v>
      </c>
      <c r="E368" s="256">
        <f>E362+E363-E365</f>
        <v>0</v>
      </c>
      <c r="F368" s="253" t="e">
        <f>F95+F152+F205+F260+F314</f>
        <v>#REF!</v>
      </c>
      <c r="G368" s="256" t="e">
        <f>G362+G363-G365</f>
        <v>#REF!</v>
      </c>
      <c r="H368" s="259" t="e">
        <f>E368*1000/I345</f>
        <v>#REF!</v>
      </c>
      <c r="I368" s="254" t="e">
        <f>F368*1000/I345</f>
        <v>#REF!</v>
      </c>
      <c r="J368" s="258" t="e">
        <f>G368*1000/I345</f>
        <v>#REF!</v>
      </c>
      <c r="K368" s="256" t="e">
        <f>K362+K363-K365</f>
        <v>#REF!</v>
      </c>
      <c r="L368" s="226" t="e">
        <f>G368-K368</f>
        <v>#REF!</v>
      </c>
      <c r="M368" s="270" t="e">
        <f>K368/$K$362*100</f>
        <v>#REF!</v>
      </c>
      <c r="N368" s="226"/>
      <c r="O368" s="256"/>
      <c r="P368" s="256"/>
      <c r="Q368" s="256"/>
      <c r="R368" s="256"/>
    </row>
    <row r="369" spans="1:18" ht="17.25" customHeight="1">
      <c r="A369" s="121" t="s">
        <v>28</v>
      </c>
      <c r="B369" s="122"/>
      <c r="C369" s="123"/>
      <c r="D369" s="247"/>
      <c r="E369" s="271"/>
      <c r="F369" s="248"/>
      <c r="G369" s="271"/>
      <c r="H369" s="259"/>
      <c r="I369" s="254"/>
      <c r="J369" s="258"/>
      <c r="N369" s="226"/>
      <c r="O369" s="226"/>
      <c r="P369" s="226"/>
      <c r="Q369" s="226"/>
      <c r="R369" s="226"/>
    </row>
    <row r="370" spans="1:18" ht="17.25" customHeight="1">
      <c r="A370" s="246" t="s">
        <v>27</v>
      </c>
      <c r="B370" s="241"/>
      <c r="C370" s="242"/>
      <c r="D370" s="247" t="s">
        <v>41</v>
      </c>
      <c r="E370" s="253">
        <f>E97+E154+E207+E262+E316</f>
        <v>0</v>
      </c>
      <c r="F370" s="253" t="e">
        <f>F97+F154+F207+F262+F316</f>
        <v>#REF!</v>
      </c>
      <c r="G370" s="254" t="e">
        <f>G97+G154+G207+G262+G316</f>
        <v>#REF!</v>
      </c>
      <c r="H370" s="244" t="e">
        <f>E370*1000/I345</f>
        <v>#REF!</v>
      </c>
      <c r="I370" s="229" t="e">
        <f>F370*1000/I345</f>
        <v>#REF!</v>
      </c>
      <c r="J370" s="245" t="e">
        <f>G370*1000/I345</f>
        <v>#REF!</v>
      </c>
      <c r="K370" s="226" t="e">
        <f>#REF!</f>
        <v>#REF!</v>
      </c>
      <c r="L370" s="226" t="e">
        <f>G370-K370</f>
        <v>#REF!</v>
      </c>
      <c r="M370" s="270" t="e">
        <f>K370/$K$362*100</f>
        <v>#REF!</v>
      </c>
      <c r="N370" s="226" t="e">
        <f>ROUND(K370*$N$360,0)</f>
        <v>#REF!</v>
      </c>
      <c r="O370" s="226" t="e">
        <f>ROUND(K370*$O$360,0)</f>
        <v>#REF!</v>
      </c>
      <c r="P370" s="226" t="e">
        <f>ROUND(K370*$P$360,0)</f>
        <v>#REF!</v>
      </c>
      <c r="Q370" s="226" t="e">
        <f>ROUND(K370*$Q$360,0)</f>
        <v>#REF!</v>
      </c>
      <c r="R370" s="226" t="e">
        <f>ROUND(K370*$R$360,0)</f>
        <v>#REF!</v>
      </c>
    </row>
    <row r="371" spans="1:18" ht="17.25" customHeight="1">
      <c r="A371" s="250" t="s">
        <v>399</v>
      </c>
      <c r="B371" s="251"/>
      <c r="C371" s="252"/>
      <c r="E371" s="243"/>
      <c r="F371" s="229"/>
      <c r="G371" s="229"/>
      <c r="H371" s="244"/>
      <c r="I371" s="229"/>
      <c r="J371" s="245"/>
      <c r="N371" s="226"/>
      <c r="O371" s="226"/>
      <c r="P371" s="226"/>
      <c r="Q371" s="226"/>
      <c r="R371" s="226"/>
    </row>
    <row r="372" spans="1:18" ht="17.25" customHeight="1">
      <c r="A372" s="233" t="s">
        <v>398</v>
      </c>
      <c r="B372" s="234"/>
      <c r="C372" s="235"/>
      <c r="E372" s="255"/>
      <c r="F372" s="256"/>
      <c r="G372" s="256"/>
      <c r="H372" s="230"/>
      <c r="I372" s="256"/>
      <c r="J372" s="257"/>
      <c r="N372" s="226"/>
      <c r="O372" s="226"/>
      <c r="P372" s="226"/>
      <c r="Q372" s="226"/>
      <c r="R372" s="226"/>
    </row>
    <row r="373" spans="1:18" ht="17.25" customHeight="1">
      <c r="A373" s="236" t="s">
        <v>397</v>
      </c>
      <c r="B373" s="237"/>
      <c r="C373" s="238"/>
      <c r="D373" s="226" t="s">
        <v>346</v>
      </c>
      <c r="E373" s="253">
        <f>E100+E157+E210+E265+E319</f>
        <v>0</v>
      </c>
      <c r="F373" s="253" t="e">
        <f>F100+F157+F210+F265+F319</f>
        <v>#REF!</v>
      </c>
      <c r="G373" s="254" t="e">
        <f>G100+G157+G210+G265+G319</f>
        <v>#REF!</v>
      </c>
      <c r="H373" s="230" t="e">
        <f>E373*1000/I345</f>
        <v>#REF!</v>
      </c>
      <c r="I373" s="256" t="e">
        <f>F373*1000/I345</f>
        <v>#REF!</v>
      </c>
      <c r="J373" s="257" t="e">
        <f>G373*1000/I345</f>
        <v>#REF!</v>
      </c>
      <c r="K373" s="226" t="e">
        <f>#REF!</f>
        <v>#REF!</v>
      </c>
      <c r="L373" s="226" t="e">
        <f>G373-K373</f>
        <v>#REF!</v>
      </c>
      <c r="M373" s="270" t="e">
        <f>K373/$K$362*100</f>
        <v>#REF!</v>
      </c>
      <c r="N373" s="226" t="e">
        <f>ROUND(K373*$N$360,0)</f>
        <v>#REF!</v>
      </c>
      <c r="O373" s="226" t="e">
        <f>ROUND(K373*$O$360,0)</f>
        <v>#REF!</v>
      </c>
      <c r="P373" s="226" t="e">
        <f>ROUND(K373*$P$360,0)</f>
        <v>#REF!</v>
      </c>
      <c r="Q373" s="226" t="e">
        <f>ROUND(K373*$Q$360,0)</f>
        <v>#REF!</v>
      </c>
      <c r="R373" s="226" t="e">
        <f>ROUND(K373*$R$360,0)</f>
        <v>#REF!</v>
      </c>
    </row>
    <row r="374" spans="1:18" ht="17.25" customHeight="1">
      <c r="A374" s="250" t="s">
        <v>343</v>
      </c>
      <c r="B374" s="251"/>
      <c r="C374" s="252"/>
      <c r="D374" s="243"/>
      <c r="E374" s="255"/>
      <c r="F374" s="256"/>
      <c r="G374" s="256"/>
      <c r="H374" s="244"/>
      <c r="I374" s="229"/>
      <c r="J374" s="245"/>
      <c r="N374" s="226"/>
      <c r="O374" s="226"/>
      <c r="P374" s="226"/>
      <c r="Q374" s="226"/>
      <c r="R374" s="226"/>
    </row>
    <row r="375" spans="1:18" ht="17.25" customHeight="1">
      <c r="A375" s="236" t="s">
        <v>342</v>
      </c>
      <c r="B375" s="237"/>
      <c r="C375" s="238"/>
      <c r="D375" s="253" t="s">
        <v>341</v>
      </c>
      <c r="E375" s="253">
        <f>E102+E159+E212+E267+E321</f>
        <v>0</v>
      </c>
      <c r="F375" s="253" t="e">
        <f>F102+F159+F212+F267+F321</f>
        <v>#REF!</v>
      </c>
      <c r="G375" s="254" t="e">
        <f>G102+G159+G212+G267+G321</f>
        <v>#REF!</v>
      </c>
      <c r="H375" s="259" t="e">
        <f>E375*1000/I345</f>
        <v>#REF!</v>
      </c>
      <c r="I375" s="254" t="e">
        <f>F375*1000/I345</f>
        <v>#REF!</v>
      </c>
      <c r="J375" s="258" t="e">
        <f>G375*1000/I345</f>
        <v>#REF!</v>
      </c>
      <c r="K375" s="226" t="e">
        <f>#REF!</f>
        <v>#REF!</v>
      </c>
      <c r="L375" s="226" t="e">
        <f>G375-K375</f>
        <v>#REF!</v>
      </c>
      <c r="M375" s="270" t="e">
        <f>K375/$K$362*100</f>
        <v>#REF!</v>
      </c>
      <c r="N375" s="226" t="e">
        <f>ROUND(K375*$N$360,0)</f>
        <v>#REF!</v>
      </c>
      <c r="O375" s="226" t="e">
        <f>ROUND(K375*$O$360,0)</f>
        <v>#REF!</v>
      </c>
      <c r="P375" s="226" t="e">
        <f>ROUND(K375*$P$360,0)</f>
        <v>#REF!</v>
      </c>
      <c r="Q375" s="226" t="e">
        <f>ROUND(K375*$Q$360,0)</f>
        <v>#REF!</v>
      </c>
      <c r="R375" s="226" t="e">
        <f>ROUND(K375*$R$360,0)</f>
        <v>#REF!</v>
      </c>
    </row>
    <row r="376" spans="1:18" ht="17.25" customHeight="1">
      <c r="A376" s="233" t="s">
        <v>340</v>
      </c>
      <c r="B376" s="234"/>
      <c r="C376" s="235"/>
      <c r="E376" s="255"/>
      <c r="F376" s="256"/>
      <c r="G376" s="256"/>
      <c r="H376" s="230"/>
      <c r="I376" s="256"/>
      <c r="J376" s="257"/>
      <c r="N376" s="226"/>
      <c r="O376" s="226"/>
      <c r="P376" s="226"/>
      <c r="Q376" s="226"/>
      <c r="R376" s="226"/>
    </row>
    <row r="377" spans="1:18" ht="17.25" customHeight="1">
      <c r="A377" s="236" t="s">
        <v>339</v>
      </c>
      <c r="B377" s="237"/>
      <c r="C377" s="238"/>
      <c r="D377" s="226" t="s">
        <v>183</v>
      </c>
      <c r="E377" s="253">
        <f>E104+E161+E214+E269+E323</f>
        <v>0</v>
      </c>
      <c r="F377" s="253" t="e">
        <f>F104+F161+F214+F269+F323</f>
        <v>#REF!</v>
      </c>
      <c r="G377" s="254" t="e">
        <f>G104+G161+G214+G269+G323</f>
        <v>#REF!</v>
      </c>
      <c r="H377" s="259" t="e">
        <f>E377*1000/I345</f>
        <v>#REF!</v>
      </c>
      <c r="I377" s="254" t="e">
        <f>F377*1000/I345</f>
        <v>#REF!</v>
      </c>
      <c r="J377" s="258" t="e">
        <f>G377*1000/I345</f>
        <v>#REF!</v>
      </c>
      <c r="K377" s="226" t="e">
        <f>#REF!+#REF!+#REF!+#REF!+#REF!+#REF!</f>
        <v>#REF!</v>
      </c>
      <c r="L377" s="226" t="e">
        <f>G377-K377</f>
        <v>#REF!</v>
      </c>
      <c r="N377" s="226" t="e">
        <f>ROUND(K377*$N$360,0)</f>
        <v>#REF!</v>
      </c>
      <c r="O377" s="226" t="e">
        <f>ROUND(K377*$O$360,0)</f>
        <v>#REF!</v>
      </c>
      <c r="P377" s="226" t="e">
        <f>ROUND(K377*$P$360,0)</f>
        <v>#REF!</v>
      </c>
      <c r="Q377" s="226" t="e">
        <f>ROUND(K377*$Q$360,0)</f>
        <v>#REF!</v>
      </c>
      <c r="R377" s="226" t="e">
        <f>ROUND(K377*$R$360,0)</f>
        <v>#REF!</v>
      </c>
    </row>
    <row r="378" spans="1:18" ht="17.25" customHeight="1">
      <c r="A378" s="250" t="s">
        <v>182</v>
      </c>
      <c r="B378" s="251"/>
      <c r="C378" s="252"/>
      <c r="D378" s="243"/>
      <c r="E378" s="256"/>
      <c r="F378" s="230"/>
      <c r="G378" s="229"/>
      <c r="H378" s="230"/>
      <c r="I378" s="256"/>
      <c r="J378" s="256"/>
      <c r="N378" s="226"/>
      <c r="O378" s="226"/>
      <c r="P378" s="226"/>
      <c r="Q378" s="226"/>
      <c r="R378" s="226"/>
    </row>
    <row r="379" spans="1:18" ht="17.25" customHeight="1">
      <c r="A379" s="236" t="s">
        <v>232</v>
      </c>
      <c r="B379" s="237"/>
      <c r="C379" s="238"/>
      <c r="D379" s="253" t="s">
        <v>476</v>
      </c>
      <c r="E379" s="253">
        <f>E106+E163+E216+E271+E325</f>
        <v>0</v>
      </c>
      <c r="F379" s="253" t="e">
        <f>F106+F163+F216+F271+F325</f>
        <v>#REF!</v>
      </c>
      <c r="G379" s="254" t="e">
        <f>G370+G373+G375+G377</f>
        <v>#REF!</v>
      </c>
      <c r="H379" s="258" t="e">
        <f>E379*1000/I345</f>
        <v>#REF!</v>
      </c>
      <c r="I379" s="254" t="e">
        <f>F379*1000/I345</f>
        <v>#REF!</v>
      </c>
      <c r="J379" s="254" t="e">
        <f>G379*1000/I345</f>
        <v>#REF!</v>
      </c>
      <c r="K379" s="254" t="e">
        <f>K370+K373+K375+K377</f>
        <v>#REF!</v>
      </c>
      <c r="L379" s="226" t="e">
        <f>G379-K379</f>
        <v>#REF!</v>
      </c>
      <c r="N379" s="226"/>
      <c r="O379" s="254"/>
      <c r="P379" s="254"/>
      <c r="Q379" s="254"/>
      <c r="R379" s="254"/>
    </row>
    <row r="380" spans="1:18" ht="17.25" customHeight="1">
      <c r="A380" s="250"/>
      <c r="B380" s="251"/>
      <c r="C380" s="252"/>
      <c r="D380" s="244"/>
      <c r="E380" s="229"/>
      <c r="F380" s="244"/>
      <c r="G380" s="229"/>
      <c r="H380" s="244"/>
      <c r="I380" s="229"/>
      <c r="J380" s="229"/>
      <c r="N380" s="226"/>
      <c r="O380" s="226"/>
      <c r="P380" s="226"/>
      <c r="Q380" s="226"/>
      <c r="R380" s="226"/>
    </row>
    <row r="381" spans="1:18" ht="17.25" customHeight="1">
      <c r="A381" s="236" t="s">
        <v>76</v>
      </c>
      <c r="B381" s="237"/>
      <c r="C381" s="238"/>
      <c r="D381" s="259"/>
      <c r="E381" s="254"/>
      <c r="F381" s="253">
        <f>F108+F165+F218+F273+F327</f>
        <v>0</v>
      </c>
      <c r="G381" s="254">
        <f>G108+G165+G218+G273+G327</f>
        <v>0</v>
      </c>
      <c r="H381" s="259"/>
      <c r="I381" s="254" t="e">
        <f>F381*1000/I345</f>
        <v>#REF!</v>
      </c>
      <c r="J381" s="254" t="e">
        <f>G381*1000/I345</f>
        <v>#REF!</v>
      </c>
      <c r="N381" s="226"/>
      <c r="O381" s="226"/>
      <c r="P381" s="226"/>
      <c r="Q381" s="226"/>
      <c r="R381" s="226"/>
    </row>
    <row r="382" spans="1:18" ht="17.25" customHeight="1">
      <c r="A382" s="233" t="s">
        <v>475</v>
      </c>
      <c r="B382" s="234"/>
      <c r="C382" s="235"/>
      <c r="E382" s="256"/>
      <c r="G382" s="229"/>
      <c r="I382" s="256"/>
      <c r="J382" s="256"/>
      <c r="N382" s="226"/>
      <c r="O382" s="226"/>
      <c r="P382" s="226"/>
      <c r="Q382" s="226"/>
      <c r="R382" s="226"/>
    </row>
    <row r="383" spans="1:18" ht="17.25" customHeight="1">
      <c r="A383" s="233" t="s">
        <v>330</v>
      </c>
      <c r="B383" s="234"/>
      <c r="C383" s="235"/>
      <c r="D383" s="226" t="s">
        <v>329</v>
      </c>
      <c r="E383" s="256">
        <f>E368+E379</f>
        <v>0</v>
      </c>
      <c r="F383" s="253" t="e">
        <f>F110+F167+F220+F275+F329</f>
        <v>#REF!</v>
      </c>
      <c r="G383" s="254" t="e">
        <f>G368+G379+G381</f>
        <v>#REF!</v>
      </c>
      <c r="H383" s="258" t="e">
        <f>E383*1000/I349</f>
        <v>#DIV/0!</v>
      </c>
      <c r="I383" s="256" t="e">
        <f>F383*1000/H345</f>
        <v>#REF!</v>
      </c>
      <c r="J383" s="256" t="e">
        <f>G383*1000/H345</f>
        <v>#REF!</v>
      </c>
      <c r="K383" s="254" t="e">
        <f>K368+K379+K381</f>
        <v>#REF!</v>
      </c>
      <c r="L383" s="226" t="e">
        <f>G383-K383</f>
        <v>#REF!</v>
      </c>
      <c r="N383" s="226"/>
      <c r="O383" s="254">
        <f>O368+O379+O381</f>
        <v>0</v>
      </c>
      <c r="P383" s="254">
        <f>P368+P379+P381</f>
        <v>0</v>
      </c>
      <c r="Q383" s="254">
        <f>Q368+Q379+Q381</f>
        <v>0</v>
      </c>
      <c r="R383" s="254">
        <f>R368+R379+R381</f>
        <v>0</v>
      </c>
    </row>
    <row r="384" spans="1:18" ht="17.25" customHeight="1">
      <c r="A384" s="250" t="s">
        <v>328</v>
      </c>
      <c r="B384" s="251"/>
      <c r="C384" s="252"/>
      <c r="D384" s="243"/>
      <c r="E384" s="229"/>
      <c r="F384" s="243"/>
      <c r="G384" s="229"/>
      <c r="H384" s="244"/>
      <c r="I384" s="229"/>
      <c r="J384" s="245"/>
      <c r="N384" s="226"/>
      <c r="O384" s="226">
        <f>T363</f>
        <v>0</v>
      </c>
      <c r="P384" s="226">
        <f>T364</f>
        <v>0</v>
      </c>
      <c r="Q384" s="226">
        <f>T365</f>
        <v>0</v>
      </c>
      <c r="R384" s="226">
        <f>T366</f>
        <v>0</v>
      </c>
    </row>
    <row r="385" spans="1:18" ht="17.25" customHeight="1">
      <c r="A385" s="236" t="s">
        <v>207</v>
      </c>
      <c r="B385" s="237"/>
      <c r="C385" s="238"/>
      <c r="D385" s="253" t="s">
        <v>354</v>
      </c>
      <c r="E385" s="253">
        <v>0</v>
      </c>
      <c r="F385" s="253" t="e">
        <f>F112+F169+F222+F277+F331</f>
        <v>#REF!</v>
      </c>
      <c r="G385" s="254" t="e">
        <f>G112+G169+G222+G277+G331</f>
        <v>#REF!</v>
      </c>
      <c r="H385" s="259" t="e">
        <f>E385*1000/I345</f>
        <v>#REF!</v>
      </c>
      <c r="I385" s="254" t="e">
        <f>F385*1000/I345</f>
        <v>#REF!</v>
      </c>
      <c r="J385" s="258" t="e">
        <f>G385*1000/I345</f>
        <v>#REF!</v>
      </c>
      <c r="N385" s="226"/>
      <c r="O385" s="226">
        <f>O383-O384</f>
        <v>0</v>
      </c>
      <c r="P385" s="226">
        <f>P383-P384</f>
        <v>0</v>
      </c>
      <c r="Q385" s="226">
        <f>Q383-Q384</f>
        <v>0</v>
      </c>
      <c r="R385" s="226">
        <f>R383-R384</f>
        <v>0</v>
      </c>
    </row>
    <row r="386" spans="1:18" s="43" customFormat="1">
      <c r="A386" s="201"/>
      <c r="E386" s="59"/>
      <c r="F386" s="269" t="e">
        <f>'Вспом-1'!G17</f>
        <v>#REF!</v>
      </c>
      <c r="G386" s="269" t="e">
        <f>'Вспом-1'!H17</f>
        <v>#REF!</v>
      </c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1:18" s="43" customFormat="1">
      <c r="A387" s="201"/>
      <c r="E387" s="59"/>
      <c r="F387" s="269" t="e">
        <f>F365</f>
        <v>#REF!</v>
      </c>
      <c r="G387" s="269" t="e">
        <f>G365</f>
        <v>#REF!</v>
      </c>
      <c r="H387" s="59"/>
      <c r="I387" s="59"/>
      <c r="J387" s="59"/>
      <c r="K387" s="59"/>
      <c r="L387" s="59"/>
      <c r="M387" s="59"/>
    </row>
    <row r="388" spans="1:18" s="43" customFormat="1">
      <c r="A388" s="201"/>
      <c r="E388" s="59"/>
      <c r="F388" s="269" t="e">
        <f>'Вспом-1'!D23</f>
        <v>#REF!</v>
      </c>
      <c r="G388" s="269" t="e">
        <f>F388</f>
        <v>#REF!</v>
      </c>
      <c r="H388" s="59"/>
      <c r="I388" s="59"/>
      <c r="J388" s="59"/>
      <c r="K388" s="59"/>
      <c r="L388" s="59"/>
      <c r="M388" s="59"/>
    </row>
    <row r="389" spans="1:18" s="43" customFormat="1">
      <c r="E389" s="59"/>
      <c r="F389" s="269" t="e">
        <f>F387+F386+F383+F388</f>
        <v>#REF!</v>
      </c>
      <c r="G389" s="269" t="e">
        <f>G387+G386+G383+G388</f>
        <v>#REF!</v>
      </c>
      <c r="H389" s="59"/>
      <c r="I389" s="59"/>
      <c r="J389" s="59"/>
      <c r="K389" s="59"/>
      <c r="L389" s="59"/>
      <c r="M389" s="59"/>
    </row>
    <row r="390" spans="1:18" s="43" customFormat="1">
      <c r="E390" s="59"/>
      <c r="F390" s="269" t="e">
        <f>F389-'Вспом-1'!G29</f>
        <v>#REF!</v>
      </c>
      <c r="G390" s="269" t="e">
        <f>G389-'Вспом-1'!H29</f>
        <v>#REF!</v>
      </c>
      <c r="H390" s="59"/>
      <c r="I390" s="59"/>
      <c r="J390" s="59"/>
      <c r="K390" s="59"/>
      <c r="L390" s="59"/>
      <c r="M390" s="59"/>
    </row>
    <row r="391" spans="1:18" s="43" customFormat="1">
      <c r="E391" s="59"/>
      <c r="F391" s="59"/>
      <c r="G391" s="59"/>
      <c r="H391" s="59"/>
      <c r="I391" s="59"/>
      <c r="J391" s="59"/>
      <c r="K391" s="59"/>
      <c r="L391" s="59"/>
      <c r="M391" s="59"/>
    </row>
    <row r="392" spans="1:18" s="43" customFormat="1">
      <c r="E392" s="59"/>
      <c r="F392" s="59"/>
      <c r="G392" s="59"/>
      <c r="H392" s="59"/>
      <c r="I392" s="59"/>
      <c r="J392" s="59"/>
      <c r="K392" s="59"/>
      <c r="L392" s="59"/>
      <c r="M392" s="59"/>
    </row>
    <row r="393" spans="1:18">
      <c r="D393" s="205"/>
      <c r="J393" s="226"/>
    </row>
    <row r="394" spans="1:18">
      <c r="D394" s="205"/>
      <c r="J394" s="226"/>
    </row>
    <row r="395" spans="1:18">
      <c r="D395" s="205"/>
      <c r="J395" s="226"/>
    </row>
    <row r="396" spans="1:18">
      <c r="D396" s="205"/>
      <c r="J396" s="226"/>
    </row>
    <row r="397" spans="1:18">
      <c r="D397" s="205"/>
      <c r="J397" s="226"/>
    </row>
    <row r="398" spans="1:18">
      <c r="D398" s="205"/>
      <c r="J398" s="226"/>
    </row>
    <row r="399" spans="1:18">
      <c r="D399" s="205"/>
      <c r="J399" s="226"/>
    </row>
    <row r="400" spans="1:18">
      <c r="D400" s="205"/>
      <c r="J400" s="226"/>
    </row>
    <row r="401" spans="1:10">
      <c r="D401" s="205"/>
      <c r="J401" s="226"/>
    </row>
    <row r="402" spans="1:10">
      <c r="D402" s="205"/>
      <c r="J402" s="226"/>
    </row>
    <row r="403" spans="1:10">
      <c r="D403" s="205"/>
      <c r="J403" s="226"/>
    </row>
    <row r="405" spans="1:10">
      <c r="A405" s="205" t="s">
        <v>163</v>
      </c>
    </row>
    <row r="407" spans="1:10">
      <c r="A407" s="250"/>
      <c r="B407" s="251"/>
      <c r="C407" s="251"/>
      <c r="D407" s="245"/>
      <c r="E407" s="243" t="s">
        <v>52</v>
      </c>
      <c r="F407" s="245"/>
      <c r="G407" s="244" t="s">
        <v>360</v>
      </c>
      <c r="H407" s="245"/>
    </row>
    <row r="408" spans="1:10">
      <c r="A408" s="236"/>
      <c r="B408" s="237"/>
      <c r="C408" s="237"/>
      <c r="D408" s="258"/>
      <c r="E408" s="253"/>
      <c r="F408" s="258"/>
      <c r="G408" s="259"/>
      <c r="H408" s="258"/>
    </row>
    <row r="409" spans="1:10">
      <c r="A409" s="250" t="s">
        <v>22</v>
      </c>
      <c r="B409" s="251"/>
      <c r="C409" s="251"/>
      <c r="D409" s="245"/>
      <c r="E409" s="243"/>
      <c r="F409" s="245"/>
      <c r="G409" s="244"/>
      <c r="H409" s="245"/>
    </row>
    <row r="410" spans="1:10">
      <c r="A410" s="236" t="s">
        <v>21</v>
      </c>
      <c r="B410" s="237"/>
      <c r="C410" s="237"/>
      <c r="D410" s="258"/>
      <c r="E410" s="253"/>
      <c r="F410" s="258"/>
      <c r="G410" s="259"/>
      <c r="H410" s="258"/>
    </row>
    <row r="411" spans="1:10">
      <c r="A411" s="250"/>
      <c r="B411" s="251"/>
      <c r="C411" s="251"/>
      <c r="D411" s="245"/>
      <c r="E411" s="243"/>
      <c r="F411" s="245"/>
      <c r="G411" s="244"/>
      <c r="H411" s="245"/>
    </row>
    <row r="412" spans="1:10">
      <c r="A412" s="236" t="s">
        <v>20</v>
      </c>
      <c r="B412" s="237"/>
      <c r="C412" s="237"/>
      <c r="D412" s="258"/>
      <c r="E412" s="253"/>
      <c r="F412" s="258"/>
      <c r="G412" s="259"/>
      <c r="H412" s="258"/>
    </row>
    <row r="413" spans="1:10">
      <c r="A413" s="250"/>
      <c r="B413" s="251"/>
      <c r="C413" s="251"/>
      <c r="D413" s="245"/>
      <c r="E413" s="243"/>
      <c r="F413" s="245"/>
      <c r="G413" s="244"/>
      <c r="H413" s="245"/>
    </row>
    <row r="414" spans="1:10">
      <c r="A414" s="233" t="s">
        <v>317</v>
      </c>
      <c r="B414" s="234"/>
      <c r="C414" s="234"/>
      <c r="D414" s="257"/>
      <c r="E414" s="255"/>
      <c r="F414" s="257"/>
      <c r="G414" s="230"/>
      <c r="H414" s="257"/>
    </row>
    <row r="415" spans="1:10">
      <c r="A415" s="236" t="s">
        <v>316</v>
      </c>
      <c r="B415" s="237"/>
      <c r="C415" s="237"/>
      <c r="D415" s="258"/>
      <c r="E415" s="253"/>
      <c r="F415" s="258"/>
      <c r="G415" s="259"/>
      <c r="H415" s="258"/>
    </row>
    <row r="416" spans="1:10">
      <c r="A416" s="250"/>
      <c r="B416" s="251"/>
      <c r="C416" s="251"/>
      <c r="D416" s="245"/>
      <c r="E416" s="243"/>
      <c r="F416" s="245"/>
      <c r="G416" s="244"/>
      <c r="H416" s="245"/>
    </row>
    <row r="417" spans="1:8">
      <c r="A417" s="233" t="s">
        <v>315</v>
      </c>
      <c r="B417" s="234"/>
      <c r="C417" s="234"/>
      <c r="D417" s="257"/>
      <c r="E417" s="255"/>
      <c r="F417" s="257"/>
      <c r="G417" s="230"/>
      <c r="H417" s="257"/>
    </row>
    <row r="418" spans="1:8">
      <c r="A418" s="236" t="s">
        <v>314</v>
      </c>
      <c r="B418" s="237"/>
      <c r="C418" s="237"/>
      <c r="D418" s="258"/>
      <c r="E418" s="253"/>
      <c r="F418" s="258"/>
      <c r="G418" s="259"/>
      <c r="H418" s="258"/>
    </row>
    <row r="419" spans="1:8">
      <c r="A419" s="250"/>
      <c r="B419" s="251"/>
      <c r="C419" s="251"/>
      <c r="D419" s="245"/>
      <c r="E419" s="243"/>
      <c r="F419" s="245"/>
      <c r="G419" s="244"/>
      <c r="H419" s="245"/>
    </row>
    <row r="420" spans="1:8">
      <c r="A420" s="236" t="s">
        <v>122</v>
      </c>
      <c r="B420" s="237"/>
      <c r="C420" s="237"/>
      <c r="D420" s="258"/>
      <c r="E420" s="253"/>
      <c r="F420" s="258"/>
      <c r="G420" s="259"/>
      <c r="H420" s="258"/>
    </row>
    <row r="421" spans="1:8">
      <c r="A421" s="250"/>
      <c r="B421" s="251"/>
      <c r="C421" s="251"/>
      <c r="D421" s="245"/>
      <c r="E421" s="243"/>
      <c r="F421" s="245"/>
      <c r="G421" s="244"/>
      <c r="H421" s="245"/>
    </row>
    <row r="422" spans="1:8">
      <c r="A422" s="236" t="s">
        <v>121</v>
      </c>
      <c r="B422" s="237"/>
      <c r="C422" s="237"/>
      <c r="D422" s="258"/>
      <c r="E422" s="253"/>
      <c r="F422" s="258"/>
      <c r="G422" s="259"/>
      <c r="H422" s="258"/>
    </row>
    <row r="423" spans="1:8">
      <c r="A423" s="250"/>
      <c r="B423" s="251"/>
      <c r="C423" s="251"/>
      <c r="D423" s="245"/>
      <c r="E423" s="243"/>
      <c r="F423" s="245"/>
      <c r="G423" s="244"/>
      <c r="H423" s="245"/>
    </row>
    <row r="424" spans="1:8">
      <c r="A424" s="236" t="s">
        <v>238</v>
      </c>
      <c r="B424" s="237"/>
      <c r="C424" s="237"/>
      <c r="D424" s="258"/>
      <c r="E424" s="253"/>
      <c r="F424" s="258"/>
      <c r="G424" s="259"/>
      <c r="H424" s="258"/>
    </row>
    <row r="428" spans="1:8">
      <c r="A428" s="43" t="s">
        <v>237</v>
      </c>
      <c r="B428" s="43"/>
      <c r="C428" s="43"/>
      <c r="D428" s="59"/>
      <c r="E428" s="59"/>
      <c r="F428" s="59" t="s">
        <v>337</v>
      </c>
      <c r="G428" s="59"/>
    </row>
    <row r="429" spans="1:8">
      <c r="A429" s="43"/>
      <c r="B429" s="43"/>
      <c r="C429" s="43"/>
      <c r="D429" s="59"/>
      <c r="E429" s="59"/>
      <c r="F429" s="59"/>
      <c r="G429" s="59"/>
    </row>
    <row r="430" spans="1:8">
      <c r="A430" s="43" t="s">
        <v>452</v>
      </c>
      <c r="B430" s="43"/>
      <c r="C430" s="43"/>
      <c r="D430" s="59"/>
      <c r="E430" s="59"/>
      <c r="F430" s="59" t="s">
        <v>473</v>
      </c>
      <c r="G430" s="59"/>
    </row>
    <row r="431" spans="1:8">
      <c r="A431" s="43"/>
      <c r="B431" s="43"/>
      <c r="C431" s="43"/>
      <c r="D431" s="59"/>
      <c r="E431" s="59"/>
      <c r="F431" s="59"/>
      <c r="G431" s="59"/>
    </row>
    <row r="432" spans="1:8">
      <c r="A432" s="43" t="s">
        <v>338</v>
      </c>
      <c r="B432" s="43"/>
      <c r="C432" s="43"/>
      <c r="D432" s="59"/>
      <c r="E432" s="59"/>
      <c r="F432" s="59" t="s">
        <v>337</v>
      </c>
      <c r="G432" s="59"/>
    </row>
  </sheetData>
  <mergeCells count="38">
    <mergeCell ref="H353:J353"/>
    <mergeCell ref="H299:J299"/>
    <mergeCell ref="A300:C300"/>
    <mergeCell ref="H190:J190"/>
    <mergeCell ref="A191:C191"/>
    <mergeCell ref="A197:C197"/>
    <mergeCell ref="H245:J245"/>
    <mergeCell ref="A299:C299"/>
    <mergeCell ref="E299:G299"/>
    <mergeCell ref="A245:C245"/>
    <mergeCell ref="A354:C354"/>
    <mergeCell ref="A360:C360"/>
    <mergeCell ref="A190:C190"/>
    <mergeCell ref="E190:G190"/>
    <mergeCell ref="A246:C246"/>
    <mergeCell ref="A252:C252"/>
    <mergeCell ref="A306:C306"/>
    <mergeCell ref="A353:C353"/>
    <mergeCell ref="E353:G353"/>
    <mergeCell ref="E245:G245"/>
    <mergeCell ref="A138:C138"/>
    <mergeCell ref="B33:G33"/>
    <mergeCell ref="A144:C144"/>
    <mergeCell ref="A80:C80"/>
    <mergeCell ref="E80:G80"/>
    <mergeCell ref="A87:C87"/>
    <mergeCell ref="A137:C137"/>
    <mergeCell ref="E137:G137"/>
    <mergeCell ref="H137:J137"/>
    <mergeCell ref="H80:J80"/>
    <mergeCell ref="A81:C81"/>
    <mergeCell ref="B6:G6"/>
    <mergeCell ref="B8:G8"/>
    <mergeCell ref="B22:G22"/>
    <mergeCell ref="B23:G23"/>
    <mergeCell ref="B24:G24"/>
    <mergeCell ref="B30:G30"/>
    <mergeCell ref="B31:G31"/>
  </mergeCells>
  <phoneticPr fontId="6" type="noConversion"/>
  <pageMargins left="0.83" right="0.2" top="0.56999999999999995" bottom="7.874015748031496E-2" header="0.51181102362204722" footer="0.4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2:H34"/>
  <sheetViews>
    <sheetView workbookViewId="0"/>
  </sheetViews>
  <sheetFormatPr defaultRowHeight="12.75"/>
  <cols>
    <col min="1" max="1" width="7.28515625" customWidth="1"/>
    <col min="2" max="2" width="29.85546875" customWidth="1"/>
    <col min="3" max="3" width="10.28515625" style="127" bestFit="1" customWidth="1"/>
    <col min="4" max="4" width="9.140625" style="127"/>
  </cols>
  <sheetData>
    <row r="2" spans="1:4" ht="18">
      <c r="A2" s="485" t="s">
        <v>435</v>
      </c>
      <c r="B2" s="485"/>
      <c r="C2" s="485"/>
      <c r="D2" s="485"/>
    </row>
    <row r="3" spans="1:4" ht="15.75">
      <c r="A3" s="484" t="s">
        <v>436</v>
      </c>
      <c r="B3" s="484"/>
      <c r="C3" s="484"/>
      <c r="D3" s="484"/>
    </row>
    <row r="4" spans="1:4" ht="15.75">
      <c r="A4" s="484" t="s">
        <v>797</v>
      </c>
      <c r="B4" s="484"/>
      <c r="C4" s="484"/>
      <c r="D4" s="484"/>
    </row>
    <row r="5" spans="1:4" ht="15.75">
      <c r="A5" s="124"/>
      <c r="B5" s="124"/>
      <c r="C5" s="124"/>
      <c r="D5" s="124"/>
    </row>
    <row r="6" spans="1:4">
      <c r="A6" s="10"/>
      <c r="B6" s="12"/>
      <c r="C6" s="128" t="s">
        <v>437</v>
      </c>
      <c r="D6" s="129"/>
    </row>
    <row r="7" spans="1:4">
      <c r="A7" s="130"/>
      <c r="B7" s="22"/>
      <c r="C7" s="20" t="s">
        <v>438</v>
      </c>
      <c r="D7" s="20" t="s">
        <v>439</v>
      </c>
    </row>
    <row r="8" spans="1:4">
      <c r="A8" s="13"/>
      <c r="B8" s="15"/>
      <c r="C8" s="21" t="s">
        <v>440</v>
      </c>
      <c r="D8" s="21" t="s">
        <v>440</v>
      </c>
    </row>
    <row r="9" spans="1:4" ht="19.5" customHeight="1">
      <c r="A9" s="15">
        <v>1</v>
      </c>
      <c r="B9" s="15" t="s">
        <v>441</v>
      </c>
      <c r="C9" s="52">
        <f>C14+C15+C16+C18</f>
        <v>0</v>
      </c>
      <c r="D9" s="52">
        <f>D14+D15+D16+D18</f>
        <v>0</v>
      </c>
    </row>
    <row r="10" spans="1:4" ht="19.5" customHeight="1">
      <c r="A10" s="8"/>
      <c r="B10" s="8" t="s">
        <v>442</v>
      </c>
      <c r="C10" s="50"/>
      <c r="D10" s="50"/>
    </row>
    <row r="11" spans="1:4" ht="19.5" customHeight="1">
      <c r="A11" s="8"/>
      <c r="B11" s="8" t="s">
        <v>443</v>
      </c>
      <c r="C11" s="50"/>
      <c r="D11" s="50"/>
    </row>
    <row r="12" spans="1:4" ht="19.5" customHeight="1">
      <c r="A12" s="8"/>
      <c r="B12" s="8" t="s">
        <v>444</v>
      </c>
      <c r="C12" s="50"/>
      <c r="D12" s="50"/>
    </row>
    <row r="13" spans="1:4" ht="19.5" customHeight="1">
      <c r="A13" s="8"/>
      <c r="B13" s="8" t="s">
        <v>445</v>
      </c>
      <c r="C13" s="50"/>
      <c r="D13" s="50"/>
    </row>
    <row r="14" spans="1:4" ht="19.5" customHeight="1">
      <c r="A14" s="8"/>
      <c r="B14" s="8" t="s">
        <v>446</v>
      </c>
      <c r="C14" s="50"/>
      <c r="D14" s="50"/>
    </row>
    <row r="15" spans="1:4" ht="19.5" customHeight="1">
      <c r="A15" s="8"/>
      <c r="B15" s="8" t="s">
        <v>447</v>
      </c>
      <c r="C15" s="50"/>
      <c r="D15" s="50"/>
    </row>
    <row r="16" spans="1:4" ht="19.5" customHeight="1">
      <c r="A16" s="8"/>
      <c r="B16" s="8" t="s">
        <v>127</v>
      </c>
      <c r="C16" s="50"/>
      <c r="D16" s="50"/>
    </row>
    <row r="17" spans="1:8" ht="19.5" customHeight="1">
      <c r="A17" s="8"/>
      <c r="B17" s="8" t="s">
        <v>128</v>
      </c>
      <c r="C17" s="50"/>
      <c r="D17" s="50"/>
    </row>
    <row r="18" spans="1:8" ht="19.5" customHeight="1">
      <c r="A18" s="8"/>
      <c r="B18" s="8" t="s">
        <v>129</v>
      </c>
      <c r="C18" s="50"/>
      <c r="D18" s="50"/>
    </row>
    <row r="19" spans="1:8" ht="19.5" customHeight="1">
      <c r="A19" s="8">
        <v>2</v>
      </c>
      <c r="B19" s="8" t="s">
        <v>130</v>
      </c>
      <c r="C19" s="50"/>
      <c r="D19" s="50"/>
    </row>
    <row r="20" spans="1:8" ht="19.5" customHeight="1">
      <c r="A20" s="8"/>
      <c r="B20" s="8" t="s">
        <v>131</v>
      </c>
      <c r="C20" s="50" t="e">
        <f>'73-ХЛ'!F370-'73-ХЛ'!G370</f>
        <v>#REF!</v>
      </c>
      <c r="D20" s="50"/>
    </row>
    <row r="21" spans="1:8" ht="19.5" customHeight="1">
      <c r="A21" s="8"/>
      <c r="B21" s="8" t="s">
        <v>132</v>
      </c>
      <c r="C21" s="50" t="e">
        <f>'73-ХЛ'!F373-'73-ХЛ'!G373</f>
        <v>#REF!</v>
      </c>
      <c r="D21" s="50"/>
    </row>
    <row r="22" spans="1:8" ht="19.5" customHeight="1">
      <c r="A22" s="8"/>
      <c r="B22" s="8" t="s">
        <v>133</v>
      </c>
      <c r="C22" s="50" t="e">
        <f>'73-ХЛ'!F375-'73-ХЛ'!G375</f>
        <v>#REF!</v>
      </c>
      <c r="D22" s="50"/>
    </row>
    <row r="23" spans="1:8" ht="19.5" customHeight="1">
      <c r="A23" s="8"/>
      <c r="B23" s="8" t="s">
        <v>134</v>
      </c>
      <c r="C23" s="50" t="e">
        <f>'73-ХЛ'!F377-'73-ХЛ'!G377</f>
        <v>#REF!</v>
      </c>
      <c r="D23" s="50"/>
    </row>
    <row r="24" spans="1:8" s="9" customFormat="1" ht="19.5" customHeight="1">
      <c r="A24" s="32"/>
      <c r="B24" s="32" t="s">
        <v>135</v>
      </c>
      <c r="C24" s="48" t="e">
        <f>SUM(C20:C23)</f>
        <v>#REF!</v>
      </c>
      <c r="D24" s="48">
        <f>SUM(D20:D23)</f>
        <v>0</v>
      </c>
    </row>
    <row r="25" spans="1:8" s="9" customFormat="1" ht="19.5" customHeight="1">
      <c r="A25" s="32"/>
      <c r="B25" s="32" t="s">
        <v>407</v>
      </c>
      <c r="C25" s="48" t="e">
        <f>C9+C24</f>
        <v>#REF!</v>
      </c>
      <c r="D25" s="48">
        <f>D9+D24</f>
        <v>0</v>
      </c>
    </row>
    <row r="26" spans="1:8" s="9" customFormat="1" ht="19.5" customHeight="1">
      <c r="A26" s="32"/>
      <c r="B26" s="32" t="s">
        <v>136</v>
      </c>
      <c r="C26" s="48" t="e">
        <f>C25-D25</f>
        <v>#REF!</v>
      </c>
      <c r="D26" s="48"/>
    </row>
    <row r="27" spans="1:8" ht="27.75" customHeight="1"/>
    <row r="28" spans="1:8" s="135" customFormat="1" ht="15">
      <c r="A28" s="131" t="s">
        <v>26</v>
      </c>
      <c r="B28" s="132"/>
      <c r="C28" s="133"/>
      <c r="D28" s="132"/>
      <c r="E28" s="134"/>
      <c r="F28" s="134"/>
      <c r="G28" s="134"/>
      <c r="H28" s="134"/>
    </row>
    <row r="29" spans="1:8" s="135" customFormat="1" ht="15">
      <c r="A29" s="131"/>
      <c r="B29" s="132"/>
      <c r="C29" s="133"/>
      <c r="D29" s="132"/>
      <c r="E29" s="132"/>
      <c r="F29" s="132"/>
      <c r="G29" s="132"/>
      <c r="H29" s="132"/>
    </row>
    <row r="30" spans="1:8" s="135" customFormat="1" ht="15">
      <c r="A30" s="131" t="s">
        <v>166</v>
      </c>
      <c r="B30" s="132"/>
      <c r="C30" s="132"/>
      <c r="D30" s="132"/>
      <c r="E30" s="132"/>
      <c r="F30" s="132"/>
      <c r="G30" s="132"/>
      <c r="H30" s="132"/>
    </row>
    <row r="31" spans="1:8" s="126" customFormat="1">
      <c r="B31" s="125"/>
      <c r="C31" s="125"/>
      <c r="D31" s="125"/>
      <c r="E31" s="125"/>
      <c r="F31" s="125"/>
      <c r="G31" s="125"/>
      <c r="H31" s="125"/>
    </row>
    <row r="32" spans="1:8" s="126" customFormat="1">
      <c r="B32" s="125"/>
      <c r="C32" s="125"/>
      <c r="D32" s="125"/>
      <c r="E32" s="125"/>
      <c r="F32" s="125"/>
      <c r="G32" s="125"/>
      <c r="H32" s="125"/>
    </row>
    <row r="33" spans="2:8" s="126" customFormat="1">
      <c r="B33" s="125"/>
      <c r="C33" s="125"/>
      <c r="D33" s="125"/>
      <c r="E33" s="125"/>
      <c r="F33" s="125"/>
      <c r="G33" s="125"/>
      <c r="H33" s="125"/>
    </row>
    <row r="34" spans="2:8" s="126" customFormat="1">
      <c r="B34" s="125"/>
      <c r="C34" s="125"/>
      <c r="D34" s="125"/>
      <c r="E34" s="125"/>
      <c r="F34" s="125"/>
      <c r="G34" s="125"/>
      <c r="H34" s="125"/>
    </row>
  </sheetData>
  <mergeCells count="3">
    <mergeCell ref="A2:D2"/>
    <mergeCell ref="A3:D3"/>
    <mergeCell ref="A4:D4"/>
  </mergeCells>
  <phoneticPr fontId="6" type="noConversion"/>
  <pageMargins left="1.88" right="0.16" top="0.74803149606299213" bottom="0.19685039370078741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2:BD20"/>
  <sheetViews>
    <sheetView zoomScale="110" zoomScaleNormal="110" workbookViewId="0"/>
  </sheetViews>
  <sheetFormatPr defaultRowHeight="12.75"/>
  <cols>
    <col min="1" max="1" width="11.140625" style="205" customWidth="1"/>
    <col min="2" max="2" width="10" style="205" customWidth="1"/>
    <col min="3" max="3" width="8.28515625" style="205" customWidth="1"/>
    <col min="4" max="5" width="7.42578125" style="205" customWidth="1"/>
    <col min="6" max="6" width="7" style="205" customWidth="1"/>
    <col min="7" max="7" width="6.85546875" style="205" customWidth="1"/>
    <col min="8" max="8" width="7.28515625" style="205" customWidth="1"/>
    <col min="9" max="9" width="7.85546875" style="205" customWidth="1"/>
    <col min="10" max="11" width="10.140625" style="205" customWidth="1"/>
    <col min="12" max="12" width="11.7109375" style="205" customWidth="1"/>
    <col min="13" max="13" width="6.7109375" style="205" bestFit="1" customWidth="1"/>
    <col min="14" max="14" width="9.140625" style="205"/>
    <col min="15" max="15" width="9.42578125" style="205" customWidth="1"/>
    <col min="16" max="16" width="10.140625" style="205" customWidth="1"/>
    <col min="17" max="17" width="8.42578125" style="224" customWidth="1"/>
    <col min="18" max="18" width="7.85546875" style="224" customWidth="1"/>
    <col min="19" max="19" width="12.28515625" style="205" customWidth="1"/>
    <col min="20" max="20" width="8" style="205" bestFit="1" customWidth="1"/>
    <col min="21" max="21" width="10.28515625" style="205" bestFit="1" customWidth="1"/>
    <col min="22" max="22" width="11" style="205" customWidth="1"/>
    <col min="23" max="23" width="8" style="205" bestFit="1" customWidth="1"/>
    <col min="24" max="24" width="11.42578125" style="205" customWidth="1"/>
    <col min="25" max="25" width="8" style="205" customWidth="1"/>
    <col min="26" max="26" width="6.7109375" style="205" bestFit="1" customWidth="1"/>
    <col min="27" max="27" width="8.140625" style="205" bestFit="1" customWidth="1"/>
    <col min="28" max="28" width="6.42578125" style="205" customWidth="1"/>
    <col min="29" max="29" width="7.28515625" style="205" bestFit="1" customWidth="1"/>
    <col min="30" max="30" width="6.42578125" style="205" customWidth="1"/>
    <col min="31" max="31" width="7.28515625" style="205" bestFit="1" customWidth="1"/>
    <col min="32" max="32" width="7.7109375" style="205" customWidth="1"/>
    <col min="33" max="33" width="9.140625" style="398"/>
    <col min="34" max="34" width="5.140625" style="205" bestFit="1" customWidth="1"/>
    <col min="35" max="35" width="9.140625" style="398"/>
    <col min="36" max="36" width="7.140625" style="205" bestFit="1" customWidth="1"/>
    <col min="37" max="37" width="7.28515625" style="205" bestFit="1" customWidth="1"/>
    <col min="38" max="41" width="8.5703125" style="205" hidden="1" customWidth="1"/>
    <col min="42" max="42" width="12.140625" style="205" customWidth="1"/>
    <col min="43" max="43" width="9.140625" style="205"/>
    <col min="44" max="44" width="9.5703125" style="205" customWidth="1"/>
    <col min="45" max="45" width="10.28515625" style="205" bestFit="1" customWidth="1"/>
    <col min="46" max="46" width="9.85546875" style="205" hidden="1" customWidth="1"/>
    <col min="47" max="47" width="9.28515625" style="205" hidden="1" customWidth="1"/>
    <col min="48" max="48" width="9.140625" style="205"/>
    <col min="49" max="49" width="11.85546875" style="226" customWidth="1"/>
    <col min="50" max="50" width="9.85546875" style="226" bestFit="1" customWidth="1"/>
    <col min="51" max="51" width="10.42578125" style="226" bestFit="1" customWidth="1"/>
    <col min="52" max="52" width="10.28515625" style="226" bestFit="1" customWidth="1"/>
    <col min="53" max="53" width="9.28515625" style="226" bestFit="1" customWidth="1"/>
    <col min="54" max="54" width="9.42578125" style="226" customWidth="1"/>
    <col min="55" max="56" width="9.28515625" style="226" bestFit="1" customWidth="1"/>
    <col min="57" max="16384" width="9.140625" style="205"/>
  </cols>
  <sheetData>
    <row r="2" spans="1:56" s="95" customFormat="1" ht="15">
      <c r="A2" s="481" t="s">
        <v>409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Q2" s="160"/>
      <c r="R2" s="160"/>
      <c r="AG2" s="397"/>
      <c r="AI2" s="397"/>
      <c r="AW2" s="161"/>
      <c r="AX2" s="161"/>
      <c r="AY2" s="161"/>
      <c r="AZ2" s="161"/>
      <c r="BA2" s="161"/>
      <c r="BB2" s="161"/>
      <c r="BC2" s="161"/>
      <c r="BD2" s="161"/>
    </row>
    <row r="3" spans="1:56" s="95" customFormat="1" ht="15">
      <c r="A3" s="481" t="s">
        <v>859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Q3" s="160"/>
      <c r="R3" s="160"/>
      <c r="AG3" s="397"/>
      <c r="AI3" s="397"/>
      <c r="AW3" s="161"/>
      <c r="AX3" s="161"/>
      <c r="AY3" s="161"/>
      <c r="AZ3" s="161"/>
      <c r="BA3" s="161"/>
      <c r="BB3" s="161"/>
      <c r="BC3" s="161"/>
      <c r="BD3" s="161"/>
    </row>
    <row r="4" spans="1:56">
      <c r="AQ4" s="205" t="s">
        <v>410</v>
      </c>
    </row>
    <row r="5" spans="1:56" ht="15" customHeight="1">
      <c r="A5" s="162" t="s">
        <v>235</v>
      </c>
      <c r="B5" s="162" t="s">
        <v>411</v>
      </c>
      <c r="C5" s="162" t="s">
        <v>412</v>
      </c>
      <c r="D5" s="510" t="s">
        <v>413</v>
      </c>
      <c r="E5" s="512"/>
      <c r="F5" s="521" t="s">
        <v>414</v>
      </c>
      <c r="G5" s="523"/>
      <c r="H5" s="523"/>
      <c r="I5" s="522"/>
      <c r="J5" s="402" t="s">
        <v>415</v>
      </c>
      <c r="K5" s="162" t="s">
        <v>416</v>
      </c>
      <c r="L5" s="402" t="s">
        <v>417</v>
      </c>
      <c r="M5" s="162" t="s">
        <v>418</v>
      </c>
      <c r="N5" s="402" t="s">
        <v>419</v>
      </c>
      <c r="O5" s="162" t="s">
        <v>420</v>
      </c>
      <c r="P5" s="162" t="s">
        <v>421</v>
      </c>
      <c r="Q5" s="163" t="s">
        <v>422</v>
      </c>
      <c r="R5" s="163" t="s">
        <v>423</v>
      </c>
      <c r="S5" s="401" t="s">
        <v>235</v>
      </c>
      <c r="T5" s="510" t="s">
        <v>424</v>
      </c>
      <c r="U5" s="511"/>
      <c r="V5" s="162" t="s">
        <v>425</v>
      </c>
      <c r="W5" s="402" t="s">
        <v>426</v>
      </c>
      <c r="X5" s="401" t="s">
        <v>427</v>
      </c>
      <c r="Y5" s="510" t="s">
        <v>77</v>
      </c>
      <c r="Z5" s="511"/>
      <c r="AA5" s="512"/>
      <c r="AB5" s="510" t="s">
        <v>78</v>
      </c>
      <c r="AC5" s="512"/>
      <c r="AD5" s="510" t="s">
        <v>79</v>
      </c>
      <c r="AE5" s="512"/>
      <c r="AF5" s="510" t="s">
        <v>80</v>
      </c>
      <c r="AG5" s="512"/>
      <c r="AH5" s="511" t="s">
        <v>80</v>
      </c>
      <c r="AI5" s="511"/>
      <c r="AJ5" s="510" t="s">
        <v>81</v>
      </c>
      <c r="AK5" s="512"/>
      <c r="AL5" s="403"/>
      <c r="AM5" s="403"/>
      <c r="AN5" s="403"/>
      <c r="AO5" s="402"/>
      <c r="AP5" s="403" t="s">
        <v>235</v>
      </c>
      <c r="AQ5" s="510" t="s">
        <v>82</v>
      </c>
      <c r="AR5" s="512"/>
      <c r="AS5" s="501" t="s">
        <v>83</v>
      </c>
      <c r="AT5" s="502"/>
      <c r="AU5" s="503"/>
      <c r="AV5" s="162" t="s">
        <v>84</v>
      </c>
      <c r="AW5" s="164" t="s">
        <v>85</v>
      </c>
      <c r="AX5" s="165" t="s">
        <v>86</v>
      </c>
      <c r="AY5" s="164" t="s">
        <v>87</v>
      </c>
      <c r="AZ5" s="165" t="s">
        <v>415</v>
      </c>
      <c r="BA5" s="164" t="s">
        <v>415</v>
      </c>
      <c r="BB5" s="165" t="s">
        <v>88</v>
      </c>
      <c r="BC5" s="164" t="s">
        <v>89</v>
      </c>
      <c r="BD5" s="165" t="s">
        <v>90</v>
      </c>
    </row>
    <row r="6" spans="1:56" ht="15" customHeight="1">
      <c r="A6" s="166" t="s">
        <v>91</v>
      </c>
      <c r="B6" s="166" t="s">
        <v>92</v>
      </c>
      <c r="C6" s="166" t="s">
        <v>93</v>
      </c>
      <c r="D6" s="404"/>
      <c r="E6" s="405"/>
      <c r="F6" s="521" t="s">
        <v>94</v>
      </c>
      <c r="G6" s="523"/>
      <c r="H6" s="521" t="s">
        <v>95</v>
      </c>
      <c r="I6" s="522"/>
      <c r="J6" s="400" t="s">
        <v>96</v>
      </c>
      <c r="K6" s="166" t="s">
        <v>97</v>
      </c>
      <c r="L6" s="400" t="s">
        <v>98</v>
      </c>
      <c r="M6" s="166" t="s">
        <v>99</v>
      </c>
      <c r="N6" s="400" t="s">
        <v>100</v>
      </c>
      <c r="O6" s="166" t="s">
        <v>101</v>
      </c>
      <c r="P6" s="166" t="s">
        <v>102</v>
      </c>
      <c r="Q6" s="167" t="s">
        <v>103</v>
      </c>
      <c r="R6" s="167" t="s">
        <v>104</v>
      </c>
      <c r="S6" s="399" t="s">
        <v>91</v>
      </c>
      <c r="T6" s="515" t="s">
        <v>105</v>
      </c>
      <c r="U6" s="517"/>
      <c r="V6" s="166" t="s">
        <v>106</v>
      </c>
      <c r="W6" s="400" t="s">
        <v>107</v>
      </c>
      <c r="X6" s="399" t="s">
        <v>108</v>
      </c>
      <c r="Y6" s="515" t="s">
        <v>109</v>
      </c>
      <c r="Z6" s="517"/>
      <c r="AA6" s="516"/>
      <c r="AB6" s="515" t="s">
        <v>110</v>
      </c>
      <c r="AC6" s="516"/>
      <c r="AD6" s="515" t="s">
        <v>111</v>
      </c>
      <c r="AE6" s="516"/>
      <c r="AF6" s="513" t="s">
        <v>112</v>
      </c>
      <c r="AG6" s="514"/>
      <c r="AH6" s="520" t="s">
        <v>113</v>
      </c>
      <c r="AI6" s="519"/>
      <c r="AJ6" s="518" t="s">
        <v>260</v>
      </c>
      <c r="AK6" s="519"/>
      <c r="AL6" s="406"/>
      <c r="AM6" s="406"/>
      <c r="AN6" s="406"/>
      <c r="AO6" s="400"/>
      <c r="AP6" s="406" t="s">
        <v>91</v>
      </c>
      <c r="AQ6" s="515" t="s">
        <v>261</v>
      </c>
      <c r="AR6" s="516"/>
      <c r="AS6" s="504"/>
      <c r="AT6" s="505"/>
      <c r="AU6" s="506"/>
      <c r="AV6" s="166" t="s">
        <v>262</v>
      </c>
      <c r="AW6" s="168" t="s">
        <v>263</v>
      </c>
      <c r="AX6" s="169" t="s">
        <v>264</v>
      </c>
      <c r="AY6" s="168" t="s">
        <v>265</v>
      </c>
      <c r="AZ6" s="169" t="s">
        <v>266</v>
      </c>
      <c r="BA6" s="168" t="s">
        <v>267</v>
      </c>
      <c r="BB6" s="169"/>
      <c r="BC6" s="168" t="s">
        <v>268</v>
      </c>
      <c r="BD6" s="169" t="s">
        <v>269</v>
      </c>
    </row>
    <row r="7" spans="1:56" ht="15" customHeight="1">
      <c r="A7" s="166" t="s">
        <v>270</v>
      </c>
      <c r="B7" s="166" t="s">
        <v>271</v>
      </c>
      <c r="C7" s="166" t="s">
        <v>272</v>
      </c>
      <c r="D7" s="400" t="s">
        <v>273</v>
      </c>
      <c r="E7" s="162" t="s">
        <v>141</v>
      </c>
      <c r="F7" s="400"/>
      <c r="G7" s="162"/>
      <c r="H7" s="401"/>
      <c r="I7" s="162"/>
      <c r="J7" s="400" t="s">
        <v>274</v>
      </c>
      <c r="K7" s="166" t="s">
        <v>102</v>
      </c>
      <c r="L7" s="400" t="s">
        <v>275</v>
      </c>
      <c r="M7" s="166" t="s">
        <v>276</v>
      </c>
      <c r="N7" s="400"/>
      <c r="O7" s="166" t="s">
        <v>277</v>
      </c>
      <c r="P7" s="166" t="s">
        <v>278</v>
      </c>
      <c r="Q7" s="167" t="s">
        <v>279</v>
      </c>
      <c r="R7" s="167" t="s">
        <v>280</v>
      </c>
      <c r="S7" s="399" t="s">
        <v>270</v>
      </c>
      <c r="T7" s="401"/>
      <c r="U7" s="401" t="s">
        <v>281</v>
      </c>
      <c r="V7" s="166" t="s">
        <v>282</v>
      </c>
      <c r="W7" s="400" t="s">
        <v>283</v>
      </c>
      <c r="X7" s="399" t="s">
        <v>284</v>
      </c>
      <c r="Y7" s="401" t="s">
        <v>285</v>
      </c>
      <c r="Z7" s="162" t="s">
        <v>286</v>
      </c>
      <c r="AA7" s="403" t="s">
        <v>287</v>
      </c>
      <c r="AB7" s="401" t="s">
        <v>407</v>
      </c>
      <c r="AC7" s="162" t="s">
        <v>288</v>
      </c>
      <c r="AD7" s="401" t="s">
        <v>407</v>
      </c>
      <c r="AE7" s="162" t="s">
        <v>288</v>
      </c>
      <c r="AF7" s="402" t="s">
        <v>407</v>
      </c>
      <c r="AG7" s="162" t="s">
        <v>288</v>
      </c>
      <c r="AH7" s="402" t="s">
        <v>407</v>
      </c>
      <c r="AI7" s="401" t="s">
        <v>288</v>
      </c>
      <c r="AJ7" s="399" t="s">
        <v>407</v>
      </c>
      <c r="AK7" s="166" t="s">
        <v>288</v>
      </c>
      <c r="AL7" s="166"/>
      <c r="AM7" s="166"/>
      <c r="AN7" s="166"/>
      <c r="AO7" s="399"/>
      <c r="AP7" s="406" t="s">
        <v>270</v>
      </c>
      <c r="AQ7" s="401" t="s">
        <v>407</v>
      </c>
      <c r="AR7" s="162" t="s">
        <v>288</v>
      </c>
      <c r="AS7" s="504"/>
      <c r="AT7" s="505"/>
      <c r="AU7" s="506"/>
      <c r="AV7" s="166"/>
      <c r="AW7" s="168" t="s">
        <v>289</v>
      </c>
      <c r="AX7" s="169" t="s">
        <v>290</v>
      </c>
      <c r="AY7" s="168"/>
      <c r="AZ7" s="169" t="s">
        <v>291</v>
      </c>
      <c r="BA7" s="168" t="s">
        <v>292</v>
      </c>
      <c r="BB7" s="169"/>
      <c r="BC7" s="168" t="s">
        <v>293</v>
      </c>
      <c r="BD7" s="169" t="s">
        <v>294</v>
      </c>
    </row>
    <row r="8" spans="1:56" ht="15" customHeight="1">
      <c r="A8" s="170"/>
      <c r="B8" s="170" t="s">
        <v>295</v>
      </c>
      <c r="C8" s="170" t="s">
        <v>295</v>
      </c>
      <c r="D8" s="171" t="s">
        <v>296</v>
      </c>
      <c r="E8" s="170"/>
      <c r="F8" s="171" t="s">
        <v>492</v>
      </c>
      <c r="G8" s="170" t="s">
        <v>297</v>
      </c>
      <c r="H8" s="404" t="s">
        <v>492</v>
      </c>
      <c r="I8" s="170" t="s">
        <v>297</v>
      </c>
      <c r="J8" s="171" t="s">
        <v>298</v>
      </c>
      <c r="K8" s="170" t="s">
        <v>299</v>
      </c>
      <c r="L8" s="171" t="s">
        <v>300</v>
      </c>
      <c r="M8" s="170" t="s">
        <v>301</v>
      </c>
      <c r="N8" s="171"/>
      <c r="O8" s="170" t="s">
        <v>302</v>
      </c>
      <c r="P8" s="170" t="s">
        <v>292</v>
      </c>
      <c r="Q8" s="172" t="s">
        <v>214</v>
      </c>
      <c r="R8" s="172" t="s">
        <v>100</v>
      </c>
      <c r="S8" s="404"/>
      <c r="T8" s="404" t="s">
        <v>407</v>
      </c>
      <c r="U8" s="404" t="s">
        <v>303</v>
      </c>
      <c r="V8" s="170" t="s">
        <v>214</v>
      </c>
      <c r="W8" s="337"/>
      <c r="X8" s="404" t="s">
        <v>304</v>
      </c>
      <c r="Y8" s="404" t="s">
        <v>305</v>
      </c>
      <c r="Z8" s="170" t="s">
        <v>283</v>
      </c>
      <c r="AA8" s="405" t="s">
        <v>306</v>
      </c>
      <c r="AB8" s="338"/>
      <c r="AC8" s="170" t="s">
        <v>307</v>
      </c>
      <c r="AD8" s="338"/>
      <c r="AE8" s="170" t="s">
        <v>307</v>
      </c>
      <c r="AF8" s="337"/>
      <c r="AG8" s="170" t="s">
        <v>307</v>
      </c>
      <c r="AH8" s="337"/>
      <c r="AI8" s="404" t="s">
        <v>307</v>
      </c>
      <c r="AJ8" s="338"/>
      <c r="AK8" s="170" t="s">
        <v>307</v>
      </c>
      <c r="AL8" s="170"/>
      <c r="AM8" s="170"/>
      <c r="AN8" s="170"/>
      <c r="AO8" s="404"/>
      <c r="AP8" s="405"/>
      <c r="AQ8" s="404" t="s">
        <v>308</v>
      </c>
      <c r="AR8" s="170" t="s">
        <v>307</v>
      </c>
      <c r="AS8" s="507"/>
      <c r="AT8" s="508"/>
      <c r="AU8" s="509"/>
      <c r="AV8" s="170"/>
      <c r="AW8" s="173" t="s">
        <v>309</v>
      </c>
      <c r="AX8" s="174"/>
      <c r="AY8" s="173"/>
      <c r="AZ8" s="174" t="s">
        <v>310</v>
      </c>
      <c r="BA8" s="173" t="s">
        <v>311</v>
      </c>
      <c r="BB8" s="174"/>
      <c r="BC8" s="173" t="s">
        <v>290</v>
      </c>
      <c r="BD8" s="174" t="s">
        <v>312</v>
      </c>
    </row>
    <row r="9" spans="1:56">
      <c r="A9" s="170">
        <v>1</v>
      </c>
      <c r="B9" s="170">
        <f t="shared" ref="B9:AG9" si="0">A9+1</f>
        <v>2</v>
      </c>
      <c r="C9" s="170">
        <f t="shared" si="0"/>
        <v>3</v>
      </c>
      <c r="D9" s="170">
        <f t="shared" si="0"/>
        <v>4</v>
      </c>
      <c r="E9" s="170">
        <f t="shared" si="0"/>
        <v>5</v>
      </c>
      <c r="F9" s="170">
        <f t="shared" si="0"/>
        <v>6</v>
      </c>
      <c r="G9" s="170">
        <f t="shared" si="0"/>
        <v>7</v>
      </c>
      <c r="H9" s="170">
        <f t="shared" si="0"/>
        <v>8</v>
      </c>
      <c r="I9" s="170">
        <f t="shared" si="0"/>
        <v>9</v>
      </c>
      <c r="J9" s="170">
        <f t="shared" si="0"/>
        <v>10</v>
      </c>
      <c r="K9" s="170">
        <f t="shared" si="0"/>
        <v>11</v>
      </c>
      <c r="L9" s="170">
        <f t="shared" si="0"/>
        <v>12</v>
      </c>
      <c r="M9" s="170">
        <f t="shared" si="0"/>
        <v>13</v>
      </c>
      <c r="N9" s="170">
        <f t="shared" si="0"/>
        <v>14</v>
      </c>
      <c r="O9" s="170">
        <f t="shared" si="0"/>
        <v>15</v>
      </c>
      <c r="P9" s="170">
        <f t="shared" si="0"/>
        <v>16</v>
      </c>
      <c r="Q9" s="170">
        <f t="shared" si="0"/>
        <v>17</v>
      </c>
      <c r="R9" s="170">
        <f t="shared" si="0"/>
        <v>18</v>
      </c>
      <c r="S9" s="170">
        <f t="shared" si="0"/>
        <v>19</v>
      </c>
      <c r="T9" s="170">
        <f t="shared" si="0"/>
        <v>20</v>
      </c>
      <c r="U9" s="170">
        <f t="shared" si="0"/>
        <v>21</v>
      </c>
      <c r="V9" s="170">
        <f t="shared" si="0"/>
        <v>22</v>
      </c>
      <c r="W9" s="170">
        <f t="shared" si="0"/>
        <v>23</v>
      </c>
      <c r="X9" s="170">
        <f t="shared" si="0"/>
        <v>24</v>
      </c>
      <c r="Y9" s="170">
        <f t="shared" si="0"/>
        <v>25</v>
      </c>
      <c r="Z9" s="170">
        <f t="shared" si="0"/>
        <v>26</v>
      </c>
      <c r="AA9" s="170">
        <f t="shared" si="0"/>
        <v>27</v>
      </c>
      <c r="AB9" s="170">
        <f t="shared" si="0"/>
        <v>28</v>
      </c>
      <c r="AC9" s="170">
        <f t="shared" si="0"/>
        <v>29</v>
      </c>
      <c r="AD9" s="170">
        <f t="shared" si="0"/>
        <v>30</v>
      </c>
      <c r="AE9" s="170">
        <f t="shared" si="0"/>
        <v>31</v>
      </c>
      <c r="AF9" s="170">
        <f t="shared" si="0"/>
        <v>32</v>
      </c>
      <c r="AG9" s="170">
        <f t="shared" si="0"/>
        <v>33</v>
      </c>
      <c r="AH9" s="170">
        <f t="shared" ref="AH9:BD9" si="1">AG9+1</f>
        <v>34</v>
      </c>
      <c r="AI9" s="170">
        <f t="shared" si="1"/>
        <v>35</v>
      </c>
      <c r="AJ9" s="170">
        <f t="shared" si="1"/>
        <v>36</v>
      </c>
      <c r="AK9" s="170">
        <f t="shared" si="1"/>
        <v>37</v>
      </c>
      <c r="AL9" s="170">
        <f t="shared" si="1"/>
        <v>38</v>
      </c>
      <c r="AM9" s="170">
        <f t="shared" si="1"/>
        <v>39</v>
      </c>
      <c r="AN9" s="170">
        <f t="shared" si="1"/>
        <v>40</v>
      </c>
      <c r="AO9" s="170">
        <f t="shared" si="1"/>
        <v>41</v>
      </c>
      <c r="AP9" s="170">
        <f t="shared" si="1"/>
        <v>42</v>
      </c>
      <c r="AQ9" s="170">
        <f t="shared" si="1"/>
        <v>43</v>
      </c>
      <c r="AR9" s="170">
        <f t="shared" si="1"/>
        <v>44</v>
      </c>
      <c r="AS9" s="170">
        <f t="shared" si="1"/>
        <v>45</v>
      </c>
      <c r="AT9" s="170">
        <f t="shared" si="1"/>
        <v>46</v>
      </c>
      <c r="AU9" s="170">
        <f t="shared" si="1"/>
        <v>47</v>
      </c>
      <c r="AV9" s="170">
        <f t="shared" si="1"/>
        <v>48</v>
      </c>
      <c r="AW9" s="170">
        <f t="shared" si="1"/>
        <v>49</v>
      </c>
      <c r="AX9" s="170">
        <f t="shared" si="1"/>
        <v>50</v>
      </c>
      <c r="AY9" s="170">
        <f t="shared" si="1"/>
        <v>51</v>
      </c>
      <c r="AZ9" s="170">
        <f t="shared" si="1"/>
        <v>52</v>
      </c>
      <c r="BA9" s="170">
        <f t="shared" si="1"/>
        <v>53</v>
      </c>
      <c r="BB9" s="170">
        <f t="shared" si="1"/>
        <v>54</v>
      </c>
      <c r="BC9" s="170">
        <f t="shared" si="1"/>
        <v>55</v>
      </c>
      <c r="BD9" s="170">
        <f t="shared" si="1"/>
        <v>56</v>
      </c>
    </row>
    <row r="10" spans="1:56" ht="18.75" customHeight="1">
      <c r="A10" s="45" t="s">
        <v>401</v>
      </c>
      <c r="B10" s="175" t="e">
        <f>#REF!</f>
        <v>#REF!</v>
      </c>
      <c r="C10" s="175" t="e">
        <f>#REF!</f>
        <v>#REF!</v>
      </c>
      <c r="D10" s="408">
        <f>'Баланс продукции'!G14</f>
        <v>2153.5447219999996</v>
      </c>
      <c r="E10" s="408">
        <f>'Баланс продукции'!I14</f>
        <v>2125.6999999999998</v>
      </c>
      <c r="F10" s="177">
        <f>'Баланс продукции'!AA14</f>
        <v>329.6010000000004</v>
      </c>
      <c r="G10" s="176">
        <f>'Баланс продукции'!AB14</f>
        <v>5.2567657527853981</v>
      </c>
      <c r="H10" s="177">
        <f>'Баланс продукции'!AC14</f>
        <v>321.93399999999997</v>
      </c>
      <c r="I10" s="176">
        <f>'Баланс продукции'!AD14</f>
        <v>5.1344857141125546</v>
      </c>
      <c r="J10" s="175" t="e">
        <f>'Вспом-1'!E29</f>
        <v>#REF!</v>
      </c>
      <c r="K10" s="175" t="e">
        <f>'Товар продукц'!C13</f>
        <v>#REF!</v>
      </c>
      <c r="L10" s="178" t="e">
        <f>K10*100/J10</f>
        <v>#REF!</v>
      </c>
      <c r="M10" s="179" t="e">
        <f>100-L10</f>
        <v>#REF!</v>
      </c>
      <c r="N10" s="175" t="e">
        <f>'Вспом-2'!N10</f>
        <v>#REF!</v>
      </c>
      <c r="O10" s="175" t="e">
        <f>'Вспом-2'!P10</f>
        <v>#REF!</v>
      </c>
      <c r="P10" s="175" t="e">
        <f>K10+N10+O10</f>
        <v>#REF!</v>
      </c>
      <c r="Q10" s="180" t="e">
        <f>P10*100/J10</f>
        <v>#REF!</v>
      </c>
      <c r="R10" s="181" t="e">
        <f>100-Q10</f>
        <v>#REF!</v>
      </c>
      <c r="S10" s="45" t="str">
        <f>+A10</f>
        <v>Митан</v>
      </c>
      <c r="T10" s="64" t="e">
        <f>#REF!</f>
        <v>#REF!</v>
      </c>
      <c r="U10" s="64" t="e">
        <f>#REF!</f>
        <v>#REF!</v>
      </c>
      <c r="V10" s="64" t="e">
        <f>'Мол нат'!#REF!</f>
        <v>#REF!</v>
      </c>
      <c r="W10" s="64" t="e">
        <f>'Мол нат'!#REF!</f>
        <v>#REF!</v>
      </c>
      <c r="X10" s="64" t="e">
        <f>'Мол нат'!#REF!</f>
        <v>#REF!</v>
      </c>
      <c r="Y10" s="182" t="e">
        <f>W10*100/V10</f>
        <v>#REF!</v>
      </c>
      <c r="Z10" s="182" t="e">
        <f>X10*100/V10</f>
        <v>#REF!</v>
      </c>
      <c r="AA10" s="182" t="e">
        <f>X10*100/P10</f>
        <v>#REF!</v>
      </c>
      <c r="AB10" s="204">
        <v>21.7</v>
      </c>
      <c r="AC10" s="183" t="e">
        <f>AB10*1000/B10</f>
        <v>#REF!</v>
      </c>
      <c r="AD10" s="183">
        <v>0</v>
      </c>
      <c r="AE10" s="183" t="e">
        <f>AD10*1000/B10</f>
        <v>#REF!</v>
      </c>
      <c r="AF10" s="183">
        <v>0</v>
      </c>
      <c r="AG10" s="184" t="e">
        <f>AF10*1000/B10</f>
        <v>#REF!</v>
      </c>
      <c r="AH10" s="204">
        <v>11</v>
      </c>
      <c r="AI10" s="185" t="e">
        <f>AH10*1000/B10</f>
        <v>#REF!</v>
      </c>
      <c r="AJ10" s="202">
        <v>750</v>
      </c>
      <c r="AK10" s="183" t="e">
        <f>+AJ10*1000/B10</f>
        <v>#REF!</v>
      </c>
      <c r="AL10" s="183"/>
      <c r="AM10" s="183"/>
      <c r="AN10" s="183"/>
      <c r="AO10" s="186"/>
      <c r="AP10" s="187" t="str">
        <f>+A10</f>
        <v>Митан</v>
      </c>
      <c r="AQ10" s="203">
        <v>27559</v>
      </c>
      <c r="AR10" s="185" t="e">
        <f>AQ10*1000/B10</f>
        <v>#REF!</v>
      </c>
      <c r="AS10" s="64" t="e">
        <f>'Бух баланс'!#REF!</f>
        <v>#REF!</v>
      </c>
      <c r="AT10" s="64" t="e">
        <f>AS10-AU10</f>
        <v>#REF!</v>
      </c>
      <c r="AU10" s="64">
        <f>+'[7]Асос восит'!DH105</f>
        <v>0</v>
      </c>
      <c r="AV10" s="184" t="e">
        <f>W10*100/AS10</f>
        <v>#REF!</v>
      </c>
      <c r="AW10" s="64" t="e">
        <f>'Бух баланс'!#REF!+'Бух баланс'!#REF!-'Бух баланс'!#REF!</f>
        <v>#REF!</v>
      </c>
      <c r="AX10" s="64" t="e">
        <f>K10/360*180</f>
        <v>#REF!</v>
      </c>
      <c r="AY10" s="64" t="e">
        <f>AW10-AX10</f>
        <v>#REF!</v>
      </c>
      <c r="AZ10" s="64" t="e">
        <f>#REF!</f>
        <v>#REF!</v>
      </c>
      <c r="BA10" s="64" t="e">
        <f>'Бух баланс'!#REF!</f>
        <v>#REF!</v>
      </c>
      <c r="BB10" s="64" t="e">
        <f>'Бух баланс'!#REF!</f>
        <v>#REF!</v>
      </c>
      <c r="BC10" s="64" t="e">
        <f>'Бух баланс'!#REF!+'Бух баланс'!#REF!+'Бух баланс'!#REF!+'Бух баланс'!#REF!+'Бух баланс'!#REF!</f>
        <v>#REF!</v>
      </c>
      <c r="BD10" s="64" t="e">
        <f>'Бух баланс'!#REF!</f>
        <v>#REF!</v>
      </c>
    </row>
    <row r="11" spans="1:56" s="43" customFormat="1" ht="18.75" customHeight="1">
      <c r="A11" s="188"/>
      <c r="B11" s="189"/>
      <c r="C11" s="189"/>
      <c r="D11" s="190"/>
      <c r="E11" s="190"/>
      <c r="F11" s="191"/>
      <c r="G11" s="190"/>
      <c r="H11" s="191"/>
      <c r="I11" s="190"/>
      <c r="J11" s="189"/>
      <c r="K11" s="189"/>
      <c r="L11" s="192"/>
      <c r="M11" s="193"/>
      <c r="N11" s="189"/>
      <c r="O11" s="189"/>
      <c r="P11" s="189"/>
      <c r="Q11" s="194"/>
      <c r="R11" s="195"/>
      <c r="S11" s="188"/>
      <c r="T11" s="189"/>
      <c r="U11" s="189"/>
      <c r="V11" s="189"/>
      <c r="W11" s="189"/>
      <c r="X11" s="189"/>
      <c r="Y11" s="193"/>
      <c r="Z11" s="345"/>
      <c r="AA11" s="345"/>
      <c r="AB11" s="346"/>
      <c r="AC11" s="347"/>
      <c r="AD11" s="346"/>
      <c r="AE11" s="190"/>
      <c r="AF11" s="196"/>
      <c r="AG11" s="193"/>
      <c r="AH11" s="196"/>
      <c r="AI11" s="193"/>
      <c r="AJ11" s="196"/>
      <c r="AK11" s="409"/>
      <c r="AL11" s="190"/>
      <c r="AM11" s="190"/>
      <c r="AN11" s="190"/>
      <c r="AO11" s="190"/>
      <c r="AP11" s="188"/>
      <c r="AQ11" s="197"/>
      <c r="AR11" s="196"/>
      <c r="AS11" s="189"/>
      <c r="AT11" s="189"/>
      <c r="AU11" s="189"/>
      <c r="AV11" s="193"/>
      <c r="AW11" s="189"/>
      <c r="AX11" s="189"/>
      <c r="AY11" s="189"/>
      <c r="AZ11" s="189"/>
      <c r="BA11" s="189"/>
      <c r="BB11" s="189"/>
      <c r="BC11" s="189"/>
      <c r="BD11" s="189"/>
    </row>
    <row r="12" spans="1:56" s="43" customFormat="1">
      <c r="Q12" s="198"/>
      <c r="R12" s="198"/>
      <c r="Z12" s="348" t="s">
        <v>861</v>
      </c>
      <c r="AA12" s="410" t="e">
        <f>B10</f>
        <v>#REF!</v>
      </c>
      <c r="AB12" s="348"/>
      <c r="AC12" s="348"/>
      <c r="AD12" s="348"/>
      <c r="AG12" s="396"/>
      <c r="AI12" s="396"/>
      <c r="AQ12" s="43" t="s">
        <v>313</v>
      </c>
      <c r="AW12" s="59"/>
      <c r="AX12" s="59"/>
      <c r="AY12" s="59"/>
      <c r="AZ12" s="59"/>
      <c r="BA12" s="59"/>
      <c r="BB12" s="59"/>
      <c r="BC12" s="59"/>
      <c r="BD12" s="59"/>
    </row>
    <row r="13" spans="1:56" s="43" customFormat="1">
      <c r="Q13" s="198"/>
      <c r="R13" s="198"/>
      <c r="Z13" s="348" t="s">
        <v>860</v>
      </c>
      <c r="AA13" s="348" t="e">
        <f>AA12/0.22</f>
        <v>#REF!</v>
      </c>
      <c r="AB13" s="348" t="e">
        <f>AA13*10</f>
        <v>#REF!</v>
      </c>
      <c r="AC13" s="348"/>
      <c r="AD13" s="348"/>
      <c r="AG13" s="396"/>
      <c r="AI13" s="396"/>
      <c r="AW13" s="59"/>
      <c r="AX13" s="59"/>
      <c r="AY13" s="59"/>
      <c r="AZ13" s="59"/>
      <c r="BA13" s="59"/>
      <c r="BB13" s="59"/>
      <c r="BC13" s="59"/>
      <c r="BD13" s="59"/>
    </row>
    <row r="14" spans="1:56" s="43" customFormat="1">
      <c r="Q14" s="198"/>
      <c r="R14" s="198"/>
      <c r="Z14" s="348"/>
      <c r="AA14" s="348" t="e">
        <f>AB13*0.2247</f>
        <v>#REF!</v>
      </c>
      <c r="AB14" s="348" t="e">
        <f>SUM(AB11:AB13)*0.2247</f>
        <v>#REF!</v>
      </c>
      <c r="AC14" s="348">
        <f>50*0.2247</f>
        <v>11.235000000000001</v>
      </c>
      <c r="AD14" s="348"/>
      <c r="AG14" s="396"/>
      <c r="AI14" s="396"/>
      <c r="AW14" s="59"/>
      <c r="AX14" s="59"/>
      <c r="AY14" s="59"/>
      <c r="AZ14" s="59"/>
      <c r="BA14" s="59"/>
      <c r="BB14" s="59"/>
      <c r="BC14" s="59"/>
      <c r="BD14" s="59"/>
    </row>
    <row r="15" spans="1:56" s="43" customFormat="1">
      <c r="Q15" s="198"/>
      <c r="R15" s="198"/>
      <c r="Z15" s="348"/>
      <c r="AA15" s="348"/>
      <c r="AB15" s="348"/>
      <c r="AC15" s="348"/>
      <c r="AD15" s="348"/>
      <c r="AG15" s="396"/>
      <c r="AI15" s="396"/>
      <c r="AW15" s="59"/>
      <c r="AX15" s="59"/>
      <c r="AY15" s="59"/>
      <c r="AZ15" s="59"/>
      <c r="BA15" s="59"/>
      <c r="BB15" s="59"/>
      <c r="BC15" s="59"/>
      <c r="BD15" s="59"/>
    </row>
    <row r="16" spans="1:56" s="43" customFormat="1">
      <c r="Q16" s="198"/>
      <c r="R16" s="198"/>
      <c r="Z16" s="348"/>
      <c r="AA16" s="348"/>
      <c r="AB16" s="348"/>
      <c r="AC16" s="348"/>
      <c r="AD16" s="348"/>
      <c r="AG16" s="396"/>
      <c r="AI16" s="396"/>
      <c r="AW16" s="59"/>
      <c r="AX16" s="59"/>
      <c r="AY16" s="59"/>
      <c r="AZ16" s="59"/>
      <c r="BA16" s="59"/>
      <c r="BB16" s="59"/>
      <c r="BC16" s="59"/>
      <c r="BD16" s="59"/>
    </row>
    <row r="17" spans="17:56" s="43" customFormat="1">
      <c r="Q17" s="198"/>
      <c r="R17" s="198"/>
      <c r="Z17" s="348"/>
      <c r="AA17" s="348"/>
      <c r="AB17" s="348"/>
      <c r="AC17" s="348"/>
      <c r="AD17" s="348"/>
      <c r="AG17" s="396"/>
      <c r="AI17" s="396"/>
      <c r="AW17" s="59"/>
      <c r="AX17" s="59"/>
      <c r="AY17" s="59"/>
      <c r="AZ17" s="59"/>
      <c r="BA17" s="59"/>
      <c r="BB17" s="59"/>
      <c r="BC17" s="59"/>
      <c r="BD17" s="59"/>
    </row>
    <row r="18" spans="17:56" s="43" customFormat="1">
      <c r="Q18" s="198"/>
      <c r="R18" s="198"/>
      <c r="AG18" s="396"/>
      <c r="AI18" s="396"/>
      <c r="AW18" s="59"/>
      <c r="AX18" s="59"/>
      <c r="AY18" s="59"/>
      <c r="AZ18" s="59"/>
      <c r="BA18" s="59"/>
      <c r="BB18" s="59"/>
      <c r="BC18" s="59"/>
      <c r="BD18" s="59"/>
    </row>
    <row r="19" spans="17:56" s="43" customFormat="1">
      <c r="Q19" s="198"/>
      <c r="R19" s="198"/>
      <c r="AG19" s="396"/>
      <c r="AI19" s="396"/>
      <c r="AW19" s="59"/>
      <c r="AX19" s="59"/>
      <c r="AY19" s="59"/>
      <c r="AZ19" s="59"/>
      <c r="BA19" s="59"/>
      <c r="BB19" s="59"/>
      <c r="BC19" s="59"/>
      <c r="BD19" s="59"/>
    </row>
    <row r="20" spans="17:56" s="43" customFormat="1">
      <c r="Q20" s="198"/>
      <c r="R20" s="198"/>
      <c r="AG20" s="396"/>
      <c r="AI20" s="396"/>
      <c r="AW20" s="59"/>
      <c r="AX20" s="59"/>
      <c r="AY20" s="59"/>
      <c r="AZ20" s="59"/>
      <c r="BA20" s="59"/>
      <c r="BB20" s="59"/>
      <c r="BC20" s="59"/>
      <c r="BD20" s="59"/>
    </row>
  </sheetData>
  <mergeCells count="23">
    <mergeCell ref="T6:U6"/>
    <mergeCell ref="T5:U5"/>
    <mergeCell ref="H6:I6"/>
    <mergeCell ref="A2:O2"/>
    <mergeCell ref="A3:O3"/>
    <mergeCell ref="D5:E5"/>
    <mergeCell ref="F5:I5"/>
    <mergeCell ref="F6:G6"/>
    <mergeCell ref="AS5:AU8"/>
    <mergeCell ref="Y5:AA5"/>
    <mergeCell ref="AF6:AG6"/>
    <mergeCell ref="AB5:AC5"/>
    <mergeCell ref="AB6:AC6"/>
    <mergeCell ref="Y6:AA6"/>
    <mergeCell ref="AF5:AG5"/>
    <mergeCell ref="AQ6:AR6"/>
    <mergeCell ref="AJ6:AK6"/>
    <mergeCell ref="AQ5:AR5"/>
    <mergeCell ref="AJ5:AK5"/>
    <mergeCell ref="AD6:AE6"/>
    <mergeCell ref="AH5:AI5"/>
    <mergeCell ref="AH6:AI6"/>
    <mergeCell ref="AD5:AE5"/>
  </mergeCells>
  <phoneticPr fontId="6" type="noConversion"/>
  <pageMargins left="0.23" right="0.2" top="0.45" bottom="0.46" header="0.39" footer="0.32"/>
  <pageSetup paperSize="9" scale="93" fitToHeight="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00B0F0"/>
  </sheetPr>
  <dimension ref="A2:D35"/>
  <sheetViews>
    <sheetView workbookViewId="0"/>
  </sheetViews>
  <sheetFormatPr defaultRowHeight="12.75"/>
  <cols>
    <col min="1" max="1" width="45" style="207" customWidth="1"/>
    <col min="2" max="3" width="14" style="207" customWidth="1"/>
    <col min="4" max="4" width="9.140625" style="207" hidden="1" customWidth="1"/>
    <col min="5" max="16384" width="9.140625" style="207"/>
  </cols>
  <sheetData>
    <row r="2" spans="1:3" ht="33" customHeight="1">
      <c r="A2" s="526" t="s">
        <v>244</v>
      </c>
      <c r="B2" s="526"/>
      <c r="C2" s="526"/>
    </row>
    <row r="3" spans="1:3">
      <c r="A3" s="351" t="s">
        <v>404</v>
      </c>
      <c r="B3" s="352"/>
      <c r="C3" s="352"/>
    </row>
    <row r="4" spans="1:3" ht="15">
      <c r="A4" s="527" t="s">
        <v>872</v>
      </c>
      <c r="B4" s="527"/>
      <c r="C4" s="527"/>
    </row>
    <row r="5" spans="1:3" ht="15">
      <c r="A5" s="527" t="s">
        <v>46</v>
      </c>
      <c r="B5" s="527"/>
      <c r="C5" s="527"/>
    </row>
    <row r="6" spans="1:3">
      <c r="A6" s="352"/>
      <c r="B6" s="352"/>
      <c r="C6" s="352"/>
    </row>
    <row r="7" spans="1:3" ht="26.25" customHeight="1">
      <c r="A7" s="28" t="s">
        <v>47</v>
      </c>
      <c r="B7" s="352"/>
      <c r="C7" s="352"/>
    </row>
    <row r="8" spans="1:3" ht="29.25" customHeight="1" thickBot="1"/>
    <row r="9" spans="1:3" ht="15" customHeight="1">
      <c r="A9" s="353"/>
      <c r="B9" s="524" t="s">
        <v>168</v>
      </c>
      <c r="C9" s="525"/>
    </row>
    <row r="10" spans="1:3" ht="15" customHeight="1" thickBot="1">
      <c r="A10" s="354" t="s">
        <v>48</v>
      </c>
      <c r="B10" s="355" t="s">
        <v>49</v>
      </c>
      <c r="C10" s="356"/>
    </row>
    <row r="11" spans="1:3" ht="15" customHeight="1">
      <c r="A11" s="357"/>
      <c r="B11" s="358" t="s">
        <v>332</v>
      </c>
      <c r="C11" s="358" t="s">
        <v>242</v>
      </c>
    </row>
    <row r="12" spans="1:3" ht="15" customHeight="1" thickBot="1">
      <c r="A12" s="359"/>
      <c r="B12" s="360" t="s">
        <v>152</v>
      </c>
      <c r="C12" s="360" t="s">
        <v>334</v>
      </c>
    </row>
    <row r="13" spans="1:3" ht="22.5" customHeight="1">
      <c r="A13" s="212" t="s">
        <v>796</v>
      </c>
      <c r="B13" s="42"/>
      <c r="C13" s="42"/>
    </row>
    <row r="14" spans="1:3" ht="15.75" hidden="1">
      <c r="A14" s="32" t="s">
        <v>181</v>
      </c>
      <c r="B14" s="72" t="e">
        <f>#REF!</f>
        <v>#REF!</v>
      </c>
      <c r="C14" s="72" t="e">
        <f>#REF!</f>
        <v>#REF!</v>
      </c>
    </row>
    <row r="15" spans="1:3" ht="17.25" hidden="1" customHeight="1">
      <c r="A15" s="361" t="s">
        <v>489</v>
      </c>
      <c r="B15" s="73" t="e">
        <f>#REF!</f>
        <v>#REF!</v>
      </c>
      <c r="C15" s="73" t="e">
        <f>#REF!</f>
        <v>#REF!</v>
      </c>
    </row>
    <row r="16" spans="1:3" ht="18.75" customHeight="1">
      <c r="A16" s="361" t="s">
        <v>395</v>
      </c>
      <c r="B16" s="73" t="e">
        <f>#REF!</f>
        <v>#REF!</v>
      </c>
      <c r="C16" s="73" t="e">
        <f>#REF!</f>
        <v>#REF!</v>
      </c>
    </row>
    <row r="17" spans="1:4" ht="20.25" customHeight="1">
      <c r="A17" s="361" t="s">
        <v>153</v>
      </c>
      <c r="B17" s="73" t="e">
        <f>#REF!</f>
        <v>#REF!</v>
      </c>
      <c r="C17" s="73" t="e">
        <f>#REF!</f>
        <v>#REF!</v>
      </c>
    </row>
    <row r="18" spans="1:4" ht="15" customHeight="1">
      <c r="A18" s="361" t="s">
        <v>217</v>
      </c>
      <c r="B18" s="73"/>
      <c r="C18" s="73"/>
    </row>
    <row r="19" spans="1:4" ht="15" customHeight="1">
      <c r="A19" s="361" t="s">
        <v>218</v>
      </c>
      <c r="B19" s="73"/>
      <c r="C19" s="73"/>
    </row>
    <row r="20" spans="1:4" ht="15" customHeight="1">
      <c r="A20" s="361" t="s">
        <v>176</v>
      </c>
      <c r="B20" s="73" t="e">
        <f>SUM(B17:B19)</f>
        <v>#REF!</v>
      </c>
      <c r="C20" s="73" t="e">
        <f>SUM(C17:C19)</f>
        <v>#REF!</v>
      </c>
    </row>
    <row r="21" spans="1:4" ht="15" customHeight="1">
      <c r="A21" s="361" t="s">
        <v>215</v>
      </c>
      <c r="B21" s="73" t="e">
        <f>#REF!</f>
        <v>#REF!</v>
      </c>
      <c r="C21" s="73" t="e">
        <f>#REF!</f>
        <v>#REF!</v>
      </c>
    </row>
    <row r="22" spans="1:4" ht="15" customHeight="1">
      <c r="A22" s="361" t="s">
        <v>229</v>
      </c>
      <c r="B22" s="73"/>
      <c r="C22" s="73"/>
    </row>
    <row r="23" spans="1:4" ht="15" customHeight="1">
      <c r="A23" s="361" t="s">
        <v>324</v>
      </c>
      <c r="B23" s="73"/>
      <c r="C23" s="73"/>
    </row>
    <row r="24" spans="1:4" ht="15" customHeight="1">
      <c r="A24" s="361" t="s">
        <v>325</v>
      </c>
      <c r="B24" s="73"/>
      <c r="C24" s="73"/>
    </row>
    <row r="25" spans="1:4" ht="18.75" customHeight="1">
      <c r="A25" s="361" t="s">
        <v>241</v>
      </c>
      <c r="B25" s="73" t="e">
        <f>SUM(B21:B24)</f>
        <v>#REF!</v>
      </c>
      <c r="C25" s="73" t="e">
        <f>SUM(C21:C24)</f>
        <v>#REF!</v>
      </c>
    </row>
    <row r="26" spans="1:4" ht="21.75" customHeight="1">
      <c r="A26" s="361" t="s">
        <v>873</v>
      </c>
      <c r="B26" s="73" t="e">
        <f>B16+B20-B25</f>
        <v>#REF!</v>
      </c>
      <c r="C26" s="73" t="e">
        <f>C16+C20-C25</f>
        <v>#REF!</v>
      </c>
      <c r="D26" s="207" t="e">
        <f>C26/B26</f>
        <v>#REF!</v>
      </c>
    </row>
    <row r="27" spans="1:4" ht="15">
      <c r="A27" s="361" t="s">
        <v>331</v>
      </c>
      <c r="B27" s="321" t="e">
        <f>B26-B28</f>
        <v>#REF!</v>
      </c>
      <c r="C27" s="321" t="e">
        <f>B27*D26</f>
        <v>#REF!</v>
      </c>
    </row>
    <row r="28" spans="1:4" ht="17.25" customHeight="1">
      <c r="A28" s="361" t="s">
        <v>489</v>
      </c>
      <c r="B28" s="321" t="e">
        <f>B26</f>
        <v>#REF!</v>
      </c>
      <c r="C28" s="321" t="e">
        <f>C26-C27</f>
        <v>#REF!</v>
      </c>
    </row>
    <row r="29" spans="1:4" ht="20.25" customHeight="1">
      <c r="A29" s="32" t="s">
        <v>395</v>
      </c>
      <c r="B29" s="72" t="e">
        <f>#REF!</f>
        <v>#REF!</v>
      </c>
      <c r="C29" s="72" t="e">
        <f>#REF!</f>
        <v>#REF!</v>
      </c>
    </row>
    <row r="33" spans="1:1">
      <c r="A33" s="9" t="s">
        <v>408</v>
      </c>
    </row>
    <row r="34" spans="1:1">
      <c r="A34" s="9"/>
    </row>
    <row r="35" spans="1:1">
      <c r="A35" s="9" t="s">
        <v>326</v>
      </c>
    </row>
  </sheetData>
  <mergeCells count="4">
    <mergeCell ref="B9:C9"/>
    <mergeCell ref="A2:C2"/>
    <mergeCell ref="A5:C5"/>
    <mergeCell ref="A4:C4"/>
  </mergeCells>
  <phoneticPr fontId="6" type="noConversion"/>
  <pageMargins left="1.19" right="0.54" top="0.33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00B0F0"/>
  </sheetPr>
  <dimension ref="A2:BM35"/>
  <sheetViews>
    <sheetView workbookViewId="0"/>
  </sheetViews>
  <sheetFormatPr defaultRowHeight="12.75"/>
  <cols>
    <col min="1" max="1" width="39.140625" customWidth="1"/>
    <col min="2" max="3" width="14.85546875" customWidth="1"/>
    <col min="4" max="111" width="9.28515625" customWidth="1"/>
  </cols>
  <sheetData>
    <row r="2" spans="1:65" ht="15" customHeight="1">
      <c r="A2" s="526" t="s">
        <v>244</v>
      </c>
      <c r="B2" s="526"/>
      <c r="C2" s="526"/>
    </row>
    <row r="3" spans="1:65">
      <c r="A3" s="528" t="s">
        <v>404</v>
      </c>
      <c r="B3" s="528"/>
      <c r="C3" s="528"/>
    </row>
    <row r="4" spans="1:65" ht="19.5" customHeight="1">
      <c r="A4" s="527" t="s">
        <v>872</v>
      </c>
      <c r="B4" s="527"/>
      <c r="C4" s="527"/>
    </row>
    <row r="5" spans="1:65" ht="14.25" customHeight="1">
      <c r="A5" s="527" t="s">
        <v>391</v>
      </c>
      <c r="B5" s="527"/>
      <c r="C5" s="527"/>
    </row>
    <row r="6" spans="1:65" ht="14.25" customHeight="1">
      <c r="A6" s="18"/>
      <c r="B6" s="18"/>
      <c r="C6" s="18"/>
    </row>
    <row r="7" spans="1:65" ht="14.25" customHeight="1">
      <c r="A7" s="484" t="s">
        <v>47</v>
      </c>
      <c r="B7" s="484"/>
      <c r="C7" s="484"/>
    </row>
    <row r="8" spans="1:65" ht="14.25" customHeight="1" thickBot="1"/>
    <row r="9" spans="1:65" ht="14.25" customHeight="1" thickBot="1">
      <c r="A9" s="3"/>
      <c r="B9" s="4"/>
      <c r="C9" s="5"/>
    </row>
    <row r="10" spans="1:65" ht="14.25" customHeight="1">
      <c r="A10" s="25" t="s">
        <v>48</v>
      </c>
      <c r="B10" s="37" t="s">
        <v>332</v>
      </c>
      <c r="C10" s="37" t="s">
        <v>333</v>
      </c>
    </row>
    <row r="11" spans="1:65" ht="14.25" customHeight="1">
      <c r="A11" s="6"/>
      <c r="B11" s="25" t="s">
        <v>152</v>
      </c>
      <c r="C11" s="25" t="s">
        <v>334</v>
      </c>
    </row>
    <row r="12" spans="1:65" ht="14.25" customHeight="1" thickBot="1">
      <c r="A12" s="7"/>
      <c r="B12" s="19"/>
      <c r="C12" s="19"/>
    </row>
    <row r="13" spans="1:65" ht="15.75" customHeight="1">
      <c r="A13" s="22" t="s">
        <v>796</v>
      </c>
      <c r="B13" s="349"/>
      <c r="C13" s="350"/>
    </row>
    <row r="14" spans="1:65" ht="15" hidden="1">
      <c r="A14" s="22" t="s">
        <v>331</v>
      </c>
      <c r="B14" s="74" t="e">
        <f>#REF!</f>
        <v>#REF!</v>
      </c>
      <c r="C14" s="73" t="e">
        <f>#REF!</f>
        <v>#REF!</v>
      </c>
    </row>
    <row r="15" spans="1:65" ht="16.5" hidden="1" customHeight="1">
      <c r="A15" s="22" t="s">
        <v>489</v>
      </c>
      <c r="B15" s="74" t="e">
        <f>#REF!</f>
        <v>#REF!</v>
      </c>
      <c r="C15" s="73" t="e">
        <f>#REF!</f>
        <v>#REF!</v>
      </c>
    </row>
    <row r="16" spans="1:65" ht="18.75" customHeight="1">
      <c r="A16" s="15" t="s">
        <v>395</v>
      </c>
      <c r="B16" s="74" t="e">
        <f>#REF!</f>
        <v>#REF!</v>
      </c>
      <c r="C16" s="73" t="e">
        <f>#REF!</f>
        <v>#REF!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7.25" customHeight="1">
      <c r="A17" s="15" t="s">
        <v>153</v>
      </c>
      <c r="B17" s="73" t="e">
        <f>#REF!</f>
        <v>#REF!</v>
      </c>
      <c r="C17" s="73" t="e">
        <f>#REF!</f>
        <v>#REF!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5" customHeight="1">
      <c r="A18" s="8" t="s">
        <v>217</v>
      </c>
      <c r="B18" s="73"/>
      <c r="C18" s="7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15" customHeight="1">
      <c r="A19" s="8" t="s">
        <v>218</v>
      </c>
      <c r="B19" s="73"/>
      <c r="C19" s="7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5" customHeight="1">
      <c r="A20" s="8" t="s">
        <v>176</v>
      </c>
      <c r="B20" s="73" t="e">
        <f>SUM(B17:B19)</f>
        <v>#REF!</v>
      </c>
      <c r="C20" s="73" t="e">
        <f>SUM(C17:C19)</f>
        <v>#REF!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5" customHeight="1">
      <c r="A21" s="8" t="s">
        <v>215</v>
      </c>
      <c r="B21" s="73" t="e">
        <f>#REF!</f>
        <v>#REF!</v>
      </c>
      <c r="C21" s="73" t="e">
        <f>#REF!</f>
        <v>#REF!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15" customHeight="1">
      <c r="A22" s="8" t="s">
        <v>229</v>
      </c>
      <c r="B22" s="73"/>
      <c r="C22" s="7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5" customHeight="1">
      <c r="A23" s="8" t="s">
        <v>324</v>
      </c>
      <c r="B23" s="73" t="e">
        <f>#REF!</f>
        <v>#REF!</v>
      </c>
      <c r="C23" s="73" t="e">
        <f>#REF!</f>
        <v>#REF!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5" customHeight="1">
      <c r="A24" s="8" t="s">
        <v>325</v>
      </c>
      <c r="B24" s="73"/>
      <c r="C24" s="7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20.25" customHeight="1">
      <c r="A25" s="8" t="s">
        <v>241</v>
      </c>
      <c r="B25" s="73" t="e">
        <f>SUM(B21:B24)</f>
        <v>#REF!</v>
      </c>
      <c r="C25" s="73" t="e">
        <f>SUM(C21:C24)</f>
        <v>#REF!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17"/>
    </row>
    <row r="26" spans="1:65" ht="22.5" customHeight="1">
      <c r="A26" s="361" t="s">
        <v>873</v>
      </c>
      <c r="B26" s="73" t="e">
        <f>B16+B20-B25</f>
        <v>#REF!</v>
      </c>
      <c r="C26" s="73" t="e">
        <f>C16+C20-C25</f>
        <v>#REF!</v>
      </c>
      <c r="D26" s="26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5">
      <c r="A27" s="8" t="s">
        <v>331</v>
      </c>
      <c r="B27" s="73" t="e">
        <f>B26</f>
        <v>#REF!</v>
      </c>
      <c r="C27" s="73" t="e">
        <f>C26</f>
        <v>#REF!</v>
      </c>
      <c r="D27" s="38"/>
      <c r="E27" s="38"/>
      <c r="F27" s="38"/>
      <c r="G27" s="38"/>
      <c r="H27" s="3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19.5" customHeight="1">
      <c r="A28" s="8" t="s">
        <v>489</v>
      </c>
      <c r="B28" s="73" t="e">
        <f>B26-B27</f>
        <v>#REF!</v>
      </c>
      <c r="C28" s="73" t="e">
        <f>C26-C27</f>
        <v>#REF!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23.25" customHeight="1">
      <c r="A29" s="8" t="s">
        <v>395</v>
      </c>
      <c r="B29" s="73" t="e">
        <f>#REF!</f>
        <v>#REF!</v>
      </c>
      <c r="C29" s="73" t="e">
        <f>#REF!</f>
        <v>#REF!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3" spans="1:1">
      <c r="A33" s="9" t="s">
        <v>408</v>
      </c>
    </row>
    <row r="34" spans="1:1">
      <c r="A34" s="9"/>
    </row>
    <row r="35" spans="1:1">
      <c r="A35" s="9" t="s">
        <v>326</v>
      </c>
    </row>
  </sheetData>
  <mergeCells count="5">
    <mergeCell ref="A7:C7"/>
    <mergeCell ref="A2:C2"/>
    <mergeCell ref="A3:C3"/>
    <mergeCell ref="A4:C4"/>
    <mergeCell ref="A5:C5"/>
  </mergeCells>
  <phoneticPr fontId="6" type="noConversion"/>
  <pageMargins left="1.2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00B0F0"/>
  </sheetPr>
  <dimension ref="A2:C33"/>
  <sheetViews>
    <sheetView workbookViewId="0"/>
  </sheetViews>
  <sheetFormatPr defaultRowHeight="12.75"/>
  <cols>
    <col min="1" max="1" width="42.28515625" customWidth="1"/>
    <col min="2" max="3" width="14" customWidth="1"/>
    <col min="4" max="41" width="18.7109375" customWidth="1"/>
  </cols>
  <sheetData>
    <row r="2" spans="1:3" ht="22.15" customHeight="1">
      <c r="A2" s="526" t="s">
        <v>244</v>
      </c>
      <c r="B2" s="526"/>
      <c r="C2" s="526"/>
    </row>
    <row r="3" spans="1:3">
      <c r="A3" s="528" t="s">
        <v>404</v>
      </c>
      <c r="B3" s="528"/>
      <c r="C3" s="528"/>
    </row>
    <row r="4" spans="1:3" ht="20.25" customHeight="1">
      <c r="A4" s="527" t="s">
        <v>872</v>
      </c>
      <c r="B4" s="527"/>
      <c r="C4" s="527"/>
    </row>
    <row r="5" spans="1:3" ht="16.149999999999999" customHeight="1">
      <c r="A5" s="527" t="s">
        <v>392</v>
      </c>
      <c r="B5" s="527"/>
      <c r="C5" s="527"/>
    </row>
    <row r="6" spans="1:3">
      <c r="A6" s="18"/>
      <c r="B6" s="18"/>
      <c r="C6" s="18"/>
    </row>
    <row r="7" spans="1:3" ht="16.5" customHeight="1">
      <c r="A7" s="484" t="s">
        <v>47</v>
      </c>
      <c r="B7" s="484"/>
      <c r="C7" s="484"/>
    </row>
    <row r="8" spans="1:3" ht="16.5" customHeight="1" thickBot="1"/>
    <row r="9" spans="1:3" ht="14.25" customHeight="1" thickBot="1">
      <c r="A9" s="3"/>
      <c r="B9" s="4"/>
      <c r="C9" s="5"/>
    </row>
    <row r="10" spans="1:3" ht="14.25" customHeight="1">
      <c r="A10" s="25" t="s">
        <v>48</v>
      </c>
      <c r="B10" s="37" t="s">
        <v>332</v>
      </c>
      <c r="C10" s="37" t="s">
        <v>333</v>
      </c>
    </row>
    <row r="11" spans="1:3" ht="14.25" customHeight="1">
      <c r="A11" s="6"/>
      <c r="B11" s="25" t="s">
        <v>152</v>
      </c>
      <c r="C11" s="25" t="s">
        <v>450</v>
      </c>
    </row>
    <row r="12" spans="1:3" ht="14.25" customHeight="1" thickBot="1">
      <c r="A12" s="7"/>
      <c r="B12" s="19"/>
      <c r="C12" s="19"/>
    </row>
    <row r="13" spans="1:3" ht="19.899999999999999" customHeight="1">
      <c r="A13" t="s">
        <v>796</v>
      </c>
      <c r="B13" s="1"/>
      <c r="C13" s="1"/>
    </row>
    <row r="14" spans="1:3" ht="15">
      <c r="A14" s="22" t="s">
        <v>186</v>
      </c>
      <c r="B14" s="75" t="e">
        <f>#REF!</f>
        <v>#REF!</v>
      </c>
      <c r="C14" s="75" t="e">
        <f>#REF!</f>
        <v>#REF!</v>
      </c>
    </row>
    <row r="15" spans="1:3" ht="18" customHeight="1">
      <c r="A15" s="8" t="s">
        <v>390</v>
      </c>
      <c r="B15" s="75"/>
      <c r="C15" s="75"/>
    </row>
    <row r="16" spans="1:3" ht="18" customHeight="1">
      <c r="A16" s="8" t="s">
        <v>168</v>
      </c>
      <c r="B16" s="75" t="e">
        <f>SUM(B14:B15)</f>
        <v>#REF!</v>
      </c>
      <c r="C16" s="75" t="e">
        <f>SUM(C14:C15)</f>
        <v>#REF!</v>
      </c>
    </row>
    <row r="17" spans="1:3" ht="19.149999999999999" customHeight="1">
      <c r="A17" s="8" t="s">
        <v>153</v>
      </c>
      <c r="B17" s="75" t="e">
        <f>#REF!</f>
        <v>#REF!</v>
      </c>
      <c r="C17" s="75" t="e">
        <f>#REF!</f>
        <v>#REF!</v>
      </c>
    </row>
    <row r="18" spans="1:3" ht="18.600000000000001" customHeight="1">
      <c r="A18" s="8" t="s">
        <v>217</v>
      </c>
      <c r="B18" s="75" t="e">
        <f>#REF!</f>
        <v>#REF!</v>
      </c>
      <c r="C18" s="75" t="e">
        <f>#REF!</f>
        <v>#REF!</v>
      </c>
    </row>
    <row r="19" spans="1:3" ht="18" customHeight="1">
      <c r="A19" s="8" t="s">
        <v>218</v>
      </c>
      <c r="B19" s="75"/>
      <c r="C19" s="75"/>
    </row>
    <row r="20" spans="1:3" ht="18" customHeight="1">
      <c r="A20" s="8" t="s">
        <v>176</v>
      </c>
      <c r="B20" s="75" t="e">
        <f>SUM(B17:B19)</f>
        <v>#REF!</v>
      </c>
      <c r="C20" s="75" t="e">
        <f>SUM(C17:C19)</f>
        <v>#REF!</v>
      </c>
    </row>
    <row r="21" spans="1:3" ht="18.600000000000001" customHeight="1">
      <c r="A21" s="8" t="s">
        <v>215</v>
      </c>
      <c r="B21" s="75" t="e">
        <f>#REF!</f>
        <v>#REF!</v>
      </c>
      <c r="C21" s="75" t="e">
        <f>#REF!</f>
        <v>#REF!</v>
      </c>
    </row>
    <row r="22" spans="1:3" ht="18" customHeight="1">
      <c r="A22" s="8" t="s">
        <v>229</v>
      </c>
      <c r="B22" s="75"/>
      <c r="C22" s="75"/>
    </row>
    <row r="23" spans="1:3" ht="18" customHeight="1">
      <c r="A23" s="8" t="s">
        <v>324</v>
      </c>
      <c r="B23" s="75"/>
      <c r="C23" s="75"/>
    </row>
    <row r="24" spans="1:3" ht="18" customHeight="1">
      <c r="A24" s="8" t="s">
        <v>325</v>
      </c>
      <c r="B24" s="75"/>
      <c r="C24" s="75"/>
    </row>
    <row r="25" spans="1:3" ht="18.600000000000001" customHeight="1">
      <c r="A25" s="8" t="s">
        <v>241</v>
      </c>
      <c r="B25" s="75" t="e">
        <f>SUM(B21:B24)</f>
        <v>#REF!</v>
      </c>
      <c r="C25" s="75" t="e">
        <f>SUM(C21:C24)</f>
        <v>#REF!</v>
      </c>
    </row>
    <row r="26" spans="1:3" ht="23.45" customHeight="1">
      <c r="A26" s="361" t="s">
        <v>873</v>
      </c>
      <c r="B26" s="75" t="e">
        <f>B16+B20-B25</f>
        <v>#REF!</v>
      </c>
      <c r="C26" s="75" t="e">
        <f>C16+C20-C25</f>
        <v>#REF!</v>
      </c>
    </row>
    <row r="27" spans="1:3" ht="15">
      <c r="A27" s="8" t="s">
        <v>186</v>
      </c>
      <c r="B27" s="75" t="e">
        <f>#REF!</f>
        <v>#REF!</v>
      </c>
      <c r="C27" s="75" t="e">
        <f>#REF!</f>
        <v>#REF!</v>
      </c>
    </row>
    <row r="28" spans="1:3" ht="20.45" customHeight="1">
      <c r="A28" s="8" t="s">
        <v>390</v>
      </c>
      <c r="B28" s="75">
        <v>0</v>
      </c>
      <c r="C28" s="75">
        <v>0</v>
      </c>
    </row>
    <row r="29" spans="1:3" ht="19.149999999999999" customHeight="1">
      <c r="A29" s="8" t="s">
        <v>168</v>
      </c>
      <c r="B29" s="75" t="e">
        <f>B27</f>
        <v>#REF!</v>
      </c>
      <c r="C29" s="75" t="e">
        <f>C27</f>
        <v>#REF!</v>
      </c>
    </row>
    <row r="31" spans="1:3">
      <c r="A31" s="9" t="s">
        <v>408</v>
      </c>
    </row>
    <row r="32" spans="1:3">
      <c r="A32" s="9"/>
    </row>
    <row r="33" spans="1:1">
      <c r="A33" s="9" t="s">
        <v>326</v>
      </c>
    </row>
  </sheetData>
  <mergeCells count="5">
    <mergeCell ref="A7:C7"/>
    <mergeCell ref="A2:C2"/>
    <mergeCell ref="A3:C3"/>
    <mergeCell ref="A4:C4"/>
    <mergeCell ref="A5:C5"/>
  </mergeCells>
  <phoneticPr fontId="6" type="noConversion"/>
  <pageMargins left="1.42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rgb="FF00B0F0"/>
  </sheetPr>
  <dimension ref="A2:E34"/>
  <sheetViews>
    <sheetView workbookViewId="0"/>
  </sheetViews>
  <sheetFormatPr defaultRowHeight="12.75"/>
  <cols>
    <col min="1" max="1" width="40" customWidth="1"/>
    <col min="2" max="2" width="24.7109375" customWidth="1"/>
    <col min="3" max="3" width="19.140625" customWidth="1"/>
    <col min="4" max="89" width="18.7109375" customWidth="1"/>
  </cols>
  <sheetData>
    <row r="2" spans="1:3" ht="22.15" customHeight="1">
      <c r="A2" s="526" t="s">
        <v>244</v>
      </c>
      <c r="B2" s="526"/>
      <c r="C2" s="526"/>
    </row>
    <row r="3" spans="1:3">
      <c r="A3" s="529" t="s">
        <v>404</v>
      </c>
      <c r="B3" s="529"/>
      <c r="C3" s="529"/>
    </row>
    <row r="4" spans="1:3" ht="29.45" customHeight="1">
      <c r="A4" s="527" t="s">
        <v>872</v>
      </c>
      <c r="B4" s="527"/>
      <c r="C4" s="527"/>
    </row>
    <row r="5" spans="1:3" ht="16.149999999999999" customHeight="1">
      <c r="A5" s="527" t="s">
        <v>177</v>
      </c>
      <c r="B5" s="527"/>
      <c r="C5" s="527"/>
    </row>
    <row r="6" spans="1:3" ht="27" customHeight="1">
      <c r="A6" s="484" t="s">
        <v>47</v>
      </c>
      <c r="B6" s="484"/>
      <c r="C6" s="484"/>
    </row>
    <row r="8" spans="1:3" ht="16.899999999999999" customHeight="1" thickBot="1">
      <c r="A8" s="17"/>
      <c r="B8" s="44"/>
      <c r="C8" s="44"/>
    </row>
    <row r="9" spans="1:3" ht="16.899999999999999" customHeight="1">
      <c r="A9" s="37" t="s">
        <v>48</v>
      </c>
      <c r="B9" s="39" t="s">
        <v>332</v>
      </c>
      <c r="C9" s="37" t="s">
        <v>333</v>
      </c>
    </row>
    <row r="10" spans="1:3" ht="16.899999999999999" customHeight="1">
      <c r="A10" s="6"/>
      <c r="B10" s="40" t="s">
        <v>152</v>
      </c>
      <c r="C10" s="25" t="s">
        <v>450</v>
      </c>
    </row>
    <row r="11" spans="1:3" ht="16.899999999999999" customHeight="1" thickBot="1">
      <c r="A11" s="7"/>
      <c r="B11" s="41"/>
      <c r="C11" s="19"/>
    </row>
    <row r="12" spans="1:3" ht="19.899999999999999" customHeight="1">
      <c r="A12" t="s">
        <v>796</v>
      </c>
      <c r="B12" s="1"/>
      <c r="C12" s="1"/>
    </row>
    <row r="13" spans="1:3" ht="15">
      <c r="A13" t="s">
        <v>186</v>
      </c>
      <c r="B13" s="75" t="e">
        <f>#REF!</f>
        <v>#REF!</v>
      </c>
      <c r="C13" s="75" t="e">
        <f>#REF!</f>
        <v>#REF!</v>
      </c>
    </row>
    <row r="14" spans="1:3" ht="18" customHeight="1">
      <c r="A14" s="8" t="s">
        <v>390</v>
      </c>
      <c r="B14" s="75"/>
      <c r="C14" s="75"/>
    </row>
    <row r="15" spans="1:3" ht="18" customHeight="1">
      <c r="A15" s="8" t="s">
        <v>168</v>
      </c>
      <c r="B15" s="75" t="e">
        <f>SUM(B13:B14)</f>
        <v>#REF!</v>
      </c>
      <c r="C15" s="75" t="e">
        <f>SUM(C13:C14)</f>
        <v>#REF!</v>
      </c>
    </row>
    <row r="16" spans="1:3" ht="19.149999999999999" customHeight="1">
      <c r="A16" s="8" t="s">
        <v>153</v>
      </c>
      <c r="B16" s="75" t="e">
        <f>#REF!</f>
        <v>#REF!</v>
      </c>
      <c r="C16" s="75" t="e">
        <f>#REF!</f>
        <v>#REF!</v>
      </c>
    </row>
    <row r="17" spans="1:5" ht="18.600000000000001" customHeight="1">
      <c r="A17" s="8" t="s">
        <v>217</v>
      </c>
      <c r="B17" s="75" t="e">
        <f>#REF!</f>
        <v>#REF!</v>
      </c>
      <c r="C17" s="75" t="e">
        <f>#REF!</f>
        <v>#REF!</v>
      </c>
    </row>
    <row r="18" spans="1:5" ht="18" customHeight="1">
      <c r="A18" s="8" t="s">
        <v>218</v>
      </c>
      <c r="B18" s="75"/>
      <c r="C18" s="75"/>
    </row>
    <row r="19" spans="1:5" ht="18" customHeight="1">
      <c r="A19" s="8" t="s">
        <v>176</v>
      </c>
      <c r="B19" s="75" t="e">
        <f>SUM(B16:B18)</f>
        <v>#REF!</v>
      </c>
      <c r="C19" s="75" t="e">
        <f>SUM(C16:C18)</f>
        <v>#REF!</v>
      </c>
    </row>
    <row r="20" spans="1:5" ht="18.600000000000001" customHeight="1">
      <c r="A20" s="8" t="s">
        <v>215</v>
      </c>
      <c r="B20" s="75" t="e">
        <f>#REF!</f>
        <v>#REF!</v>
      </c>
      <c r="C20" s="75" t="e">
        <f>#REF!</f>
        <v>#REF!</v>
      </c>
    </row>
    <row r="21" spans="1:5" ht="18" customHeight="1">
      <c r="A21" s="8" t="s">
        <v>229</v>
      </c>
      <c r="B21" s="75"/>
      <c r="C21" s="75"/>
    </row>
    <row r="22" spans="1:5" ht="18" customHeight="1">
      <c r="A22" s="8" t="s">
        <v>324</v>
      </c>
      <c r="B22" s="75"/>
      <c r="C22" s="75"/>
    </row>
    <row r="23" spans="1:5" ht="18" customHeight="1">
      <c r="A23" s="8" t="s">
        <v>325</v>
      </c>
      <c r="B23" s="75"/>
      <c r="C23" s="75"/>
    </row>
    <row r="24" spans="1:5" ht="18.600000000000001" customHeight="1">
      <c r="A24" s="8" t="s">
        <v>241</v>
      </c>
      <c r="B24" s="75" t="e">
        <f>SUM(B20:B23)</f>
        <v>#REF!</v>
      </c>
      <c r="C24" s="75" t="e">
        <f>SUM(C20:C23)</f>
        <v>#REF!</v>
      </c>
    </row>
    <row r="25" spans="1:5" ht="23.45" customHeight="1">
      <c r="A25" s="361" t="s">
        <v>873</v>
      </c>
      <c r="B25" s="75" t="e">
        <f>B15+B19-B24</f>
        <v>#REF!</v>
      </c>
      <c r="C25" s="75" t="e">
        <f>C15+C19-C24</f>
        <v>#REF!</v>
      </c>
    </row>
    <row r="26" spans="1:5" ht="15">
      <c r="A26" s="8" t="s">
        <v>186</v>
      </c>
      <c r="B26" s="75" t="e">
        <f>#REF!</f>
        <v>#REF!</v>
      </c>
      <c r="C26" s="75" t="e">
        <f>#REF!</f>
        <v>#REF!</v>
      </c>
    </row>
    <row r="27" spans="1:5" ht="20.45" customHeight="1">
      <c r="A27" s="8" t="s">
        <v>390</v>
      </c>
      <c r="B27" s="75">
        <v>0</v>
      </c>
      <c r="C27" s="75">
        <v>0</v>
      </c>
    </row>
    <row r="28" spans="1:5" ht="19.149999999999999" customHeight="1">
      <c r="A28" s="8" t="s">
        <v>168</v>
      </c>
      <c r="B28" s="75" t="e">
        <f>B26</f>
        <v>#REF!</v>
      </c>
      <c r="C28" s="75" t="e">
        <f>C26</f>
        <v>#REF!</v>
      </c>
      <c r="E28" s="51"/>
    </row>
    <row r="32" spans="1:5">
      <c r="A32" s="9" t="s">
        <v>408</v>
      </c>
    </row>
    <row r="33" spans="1:1">
      <c r="A33" s="9"/>
    </row>
    <row r="34" spans="1:1">
      <c r="A34" s="9" t="s">
        <v>326</v>
      </c>
    </row>
  </sheetData>
  <mergeCells count="5">
    <mergeCell ref="A6:C6"/>
    <mergeCell ref="A2:C2"/>
    <mergeCell ref="A3:C3"/>
    <mergeCell ref="A4:C4"/>
    <mergeCell ref="A5:C5"/>
  </mergeCells>
  <phoneticPr fontId="6" type="noConversion"/>
  <pageMargins left="1.1200000000000001" right="0.43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rgb="FF00B0F0"/>
  </sheetPr>
  <dimension ref="A1:C40"/>
  <sheetViews>
    <sheetView zoomScaleNormal="60" workbookViewId="0"/>
  </sheetViews>
  <sheetFormatPr defaultRowHeight="12.75"/>
  <cols>
    <col min="1" max="1" width="50.28515625" customWidth="1"/>
    <col min="2" max="2" width="15.7109375" customWidth="1"/>
    <col min="3" max="3" width="17.28515625" customWidth="1"/>
  </cols>
  <sheetData>
    <row r="1" spans="1:3">
      <c r="A1" s="2"/>
      <c r="B1" s="2"/>
      <c r="C1" s="2"/>
    </row>
    <row r="2" spans="1:3">
      <c r="B2" s="2"/>
      <c r="C2" s="2"/>
    </row>
    <row r="3" spans="1:3" ht="15">
      <c r="A3" s="526" t="s">
        <v>244</v>
      </c>
      <c r="B3" s="526"/>
      <c r="C3" s="526"/>
    </row>
    <row r="4" spans="1:3">
      <c r="A4" s="529" t="s">
        <v>404</v>
      </c>
      <c r="B4" s="529"/>
      <c r="C4" s="529"/>
    </row>
    <row r="5" spans="1:3" ht="15">
      <c r="A5" s="527" t="s">
        <v>872</v>
      </c>
      <c r="B5" s="527"/>
      <c r="C5" s="527"/>
    </row>
    <row r="6" spans="1:3" ht="18">
      <c r="A6" s="530" t="s">
        <v>403</v>
      </c>
      <c r="B6" s="530"/>
      <c r="C6" s="530"/>
    </row>
    <row r="7" spans="1:3" ht="18">
      <c r="A7" s="530" t="s">
        <v>47</v>
      </c>
      <c r="B7" s="530"/>
      <c r="C7" s="530"/>
    </row>
    <row r="8" spans="1:3" ht="13.5" thickBot="1"/>
    <row r="9" spans="1:3" ht="13.5" thickBot="1">
      <c r="A9" s="3"/>
      <c r="B9" s="4"/>
      <c r="C9" s="5"/>
    </row>
    <row r="10" spans="1:3">
      <c r="A10" s="25" t="s">
        <v>48</v>
      </c>
      <c r="B10" s="37" t="s">
        <v>332</v>
      </c>
      <c r="C10" s="37" t="s">
        <v>333</v>
      </c>
    </row>
    <row r="11" spans="1:3">
      <c r="A11" s="6"/>
      <c r="B11" s="25" t="s">
        <v>152</v>
      </c>
      <c r="C11" s="25" t="s">
        <v>450</v>
      </c>
    </row>
    <row r="12" spans="1:3" ht="13.5" thickBot="1">
      <c r="A12" s="6"/>
      <c r="B12" s="19"/>
      <c r="C12" s="19"/>
    </row>
    <row r="13" spans="1:3" ht="15">
      <c r="A13" s="199" t="s">
        <v>796</v>
      </c>
      <c r="B13" s="1"/>
      <c r="C13" s="1"/>
    </row>
    <row r="14" spans="1:3" ht="18">
      <c r="A14" s="200" t="s">
        <v>186</v>
      </c>
      <c r="B14" s="87" t="e">
        <f>#REF!</f>
        <v>#REF!</v>
      </c>
      <c r="C14" s="87" t="e">
        <f>#REF!</f>
        <v>#REF!</v>
      </c>
    </row>
    <row r="15" spans="1:3" ht="18">
      <c r="A15" s="77" t="s">
        <v>390</v>
      </c>
      <c r="B15" s="78"/>
      <c r="C15" s="78"/>
    </row>
    <row r="16" spans="1:3" ht="18">
      <c r="A16" s="77" t="s">
        <v>168</v>
      </c>
      <c r="B16" s="78" t="e">
        <f>SUM(B14:B15)</f>
        <v>#REF!</v>
      </c>
      <c r="C16" s="78" t="e">
        <f>SUM(C14:C15)</f>
        <v>#REF!</v>
      </c>
    </row>
    <row r="17" spans="1:3" ht="18">
      <c r="A17" s="77" t="s">
        <v>153</v>
      </c>
      <c r="B17" s="78" t="e">
        <f>#REF!</f>
        <v>#REF!</v>
      </c>
      <c r="C17" s="78" t="e">
        <f>#REF!</f>
        <v>#REF!</v>
      </c>
    </row>
    <row r="18" spans="1:3" ht="18">
      <c r="A18" s="77" t="s">
        <v>246</v>
      </c>
      <c r="B18" s="78" t="e">
        <f>#REF!</f>
        <v>#REF!</v>
      </c>
      <c r="C18" s="78" t="e">
        <f>#REF!</f>
        <v>#REF!</v>
      </c>
    </row>
    <row r="19" spans="1:3" ht="18">
      <c r="A19" s="77" t="s">
        <v>155</v>
      </c>
      <c r="B19" s="78"/>
      <c r="C19" s="78"/>
    </row>
    <row r="20" spans="1:3" ht="18">
      <c r="A20" s="77" t="s">
        <v>218</v>
      </c>
      <c r="B20" s="78"/>
      <c r="C20" s="78"/>
    </row>
    <row r="21" spans="1:3" ht="18">
      <c r="A21" s="77" t="s">
        <v>178</v>
      </c>
      <c r="B21" s="78" t="e">
        <f>SUM(B17:B20)</f>
        <v>#REF!</v>
      </c>
      <c r="C21" s="78" t="e">
        <f>SUM(C17:C20)</f>
        <v>#REF!</v>
      </c>
    </row>
    <row r="22" spans="1:3" ht="18">
      <c r="A22" s="77" t="s">
        <v>357</v>
      </c>
      <c r="B22" s="78" t="e">
        <f>#REF!</f>
        <v>#REF!</v>
      </c>
      <c r="C22" s="78" t="e">
        <f>#REF!</f>
        <v>#REF!</v>
      </c>
    </row>
    <row r="23" spans="1:3" ht="18">
      <c r="A23" s="77" t="s">
        <v>30</v>
      </c>
      <c r="B23" s="78" t="e">
        <f>B22</f>
        <v>#REF!</v>
      </c>
      <c r="C23" s="78" t="e">
        <f>C22</f>
        <v>#REF!</v>
      </c>
    </row>
    <row r="24" spans="1:3" ht="18">
      <c r="A24" s="77" t="s">
        <v>31</v>
      </c>
      <c r="B24" s="78"/>
      <c r="C24" s="78"/>
    </row>
    <row r="25" spans="1:3" ht="18">
      <c r="A25" s="77" t="s">
        <v>30</v>
      </c>
      <c r="B25" s="78"/>
      <c r="C25" s="78"/>
    </row>
    <row r="26" spans="1:3" ht="18">
      <c r="A26" s="77" t="s">
        <v>123</v>
      </c>
      <c r="B26" s="78"/>
      <c r="C26" s="78"/>
    </row>
    <row r="27" spans="1:3" ht="18">
      <c r="A27" s="77" t="s">
        <v>367</v>
      </c>
      <c r="B27" s="78" t="e">
        <f>#REF!</f>
        <v>#REF!</v>
      </c>
      <c r="C27" s="78" t="e">
        <f>#REF!</f>
        <v>#REF!</v>
      </c>
    </row>
    <row r="28" spans="1:3" ht="18">
      <c r="A28" s="77" t="s">
        <v>324</v>
      </c>
      <c r="B28" s="78"/>
      <c r="C28" s="78"/>
    </row>
    <row r="29" spans="1:3" ht="18">
      <c r="A29" s="77" t="s">
        <v>325</v>
      </c>
      <c r="B29" s="78"/>
      <c r="C29" s="78"/>
    </row>
    <row r="30" spans="1:3" ht="18">
      <c r="A30" s="77" t="s">
        <v>490</v>
      </c>
      <c r="B30" s="78" t="e">
        <f>B22+B29+B27</f>
        <v>#REF!</v>
      </c>
      <c r="C30" s="78" t="e">
        <f>C22+C29+C27</f>
        <v>#REF!</v>
      </c>
    </row>
    <row r="31" spans="1:3" ht="18">
      <c r="A31" s="77" t="s">
        <v>873</v>
      </c>
      <c r="B31" s="78" t="e">
        <f>B16+B21-B30</f>
        <v>#REF!</v>
      </c>
      <c r="C31" s="78" t="e">
        <f>C16+C21-C30</f>
        <v>#REF!</v>
      </c>
    </row>
    <row r="32" spans="1:3" ht="18">
      <c r="A32" s="77" t="s">
        <v>186</v>
      </c>
      <c r="B32" s="78">
        <v>0</v>
      </c>
      <c r="C32" s="78">
        <v>0</v>
      </c>
    </row>
    <row r="33" spans="1:3" ht="18">
      <c r="A33" s="77" t="s">
        <v>390</v>
      </c>
      <c r="B33" s="78" t="e">
        <f>B31</f>
        <v>#REF!</v>
      </c>
      <c r="C33" s="78" t="e">
        <f>C31</f>
        <v>#REF!</v>
      </c>
    </row>
    <row r="34" spans="1:3" ht="18">
      <c r="A34" s="77" t="s">
        <v>168</v>
      </c>
      <c r="B34" s="78" t="e">
        <f>B32+B33</f>
        <v>#REF!</v>
      </c>
      <c r="C34" s="78" t="e">
        <f>C32+C33</f>
        <v>#REF!</v>
      </c>
    </row>
    <row r="36" spans="1:3">
      <c r="B36" s="38"/>
      <c r="C36" s="38"/>
    </row>
    <row r="37" spans="1:3">
      <c r="B37" s="17"/>
      <c r="C37" s="17"/>
    </row>
    <row r="38" spans="1:3">
      <c r="A38" s="9" t="s">
        <v>408</v>
      </c>
      <c r="B38" s="17"/>
      <c r="C38" s="17"/>
    </row>
    <row r="39" spans="1:3">
      <c r="A39" s="9"/>
    </row>
    <row r="40" spans="1:3">
      <c r="A40" s="9" t="s">
        <v>326</v>
      </c>
    </row>
  </sheetData>
  <mergeCells count="5">
    <mergeCell ref="A7:C7"/>
    <mergeCell ref="A3:C3"/>
    <mergeCell ref="A4:C4"/>
    <mergeCell ref="A6:C6"/>
    <mergeCell ref="A5:C5"/>
  </mergeCells>
  <phoneticPr fontId="6" type="noConversion"/>
  <pageMargins left="1.07" right="0.28999999999999998" top="0.38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</sheetPr>
  <dimension ref="A1:E134"/>
  <sheetViews>
    <sheetView zoomScaleSheetLayoutView="150" workbookViewId="0">
      <selection activeCell="I29" sqref="I29"/>
    </sheetView>
  </sheetViews>
  <sheetFormatPr defaultRowHeight="12.75"/>
  <cols>
    <col min="1" max="1" width="54.28515625" style="281" customWidth="1"/>
    <col min="2" max="2" width="4.28515625" style="277" customWidth="1"/>
    <col min="3" max="3" width="15" style="277" customWidth="1"/>
    <col min="4" max="4" width="15.5703125" style="277" customWidth="1"/>
    <col min="5" max="5" width="10.7109375" style="273" customWidth="1"/>
    <col min="6" max="6" width="12.140625" style="273" customWidth="1"/>
    <col min="7" max="16384" width="9.140625" style="273"/>
  </cols>
  <sheetData>
    <row r="1" spans="1:4" ht="9.75" customHeight="1"/>
    <row r="2" spans="1:4" hidden="1"/>
    <row r="3" spans="1:4" hidden="1"/>
    <row r="4" spans="1:4" ht="15">
      <c r="A4" s="472" t="s">
        <v>881</v>
      </c>
      <c r="B4" s="299"/>
      <c r="C4" s="299"/>
      <c r="D4" s="308"/>
    </row>
    <row r="5" spans="1:4" ht="4.5" customHeight="1">
      <c r="A5" s="468" t="s">
        <v>876</v>
      </c>
      <c r="B5" s="316"/>
      <c r="C5" s="316"/>
      <c r="D5" s="316"/>
    </row>
    <row r="6" spans="1:4">
      <c r="A6" s="469" t="s">
        <v>406</v>
      </c>
      <c r="B6" s="309"/>
      <c r="C6" s="310" t="s">
        <v>519</v>
      </c>
      <c r="D6" s="311"/>
    </row>
    <row r="7" spans="1:4">
      <c r="A7" s="299" t="s">
        <v>779</v>
      </c>
      <c r="B7" s="299"/>
      <c r="C7" s="308" t="s">
        <v>522</v>
      </c>
      <c r="D7" s="304" t="s">
        <v>523</v>
      </c>
    </row>
    <row r="8" spans="1:4">
      <c r="A8" s="299" t="s">
        <v>778</v>
      </c>
      <c r="B8" s="312"/>
      <c r="C8" s="313" t="s">
        <v>525</v>
      </c>
      <c r="D8" s="304" t="s">
        <v>526</v>
      </c>
    </row>
    <row r="9" spans="1:4">
      <c r="A9" s="299" t="s">
        <v>527</v>
      </c>
      <c r="B9" s="312"/>
      <c r="C9" s="308" t="s">
        <v>528</v>
      </c>
      <c r="D9" s="301">
        <v>1153</v>
      </c>
    </row>
    <row r="10" spans="1:4">
      <c r="A10" s="299" t="s">
        <v>780</v>
      </c>
      <c r="B10" s="312"/>
      <c r="C10" s="313" t="s">
        <v>532</v>
      </c>
      <c r="D10" s="301">
        <v>144</v>
      </c>
    </row>
    <row r="11" spans="1:4">
      <c r="A11" s="299" t="s">
        <v>781</v>
      </c>
      <c r="B11" s="312"/>
      <c r="C11" s="313" t="s">
        <v>536</v>
      </c>
      <c r="D11" s="301">
        <v>8394</v>
      </c>
    </row>
    <row r="12" spans="1:4">
      <c r="A12" s="299" t="s">
        <v>538</v>
      </c>
      <c r="B12" s="312"/>
      <c r="C12" s="313" t="s">
        <v>466</v>
      </c>
      <c r="D12" s="301">
        <v>200741734</v>
      </c>
    </row>
    <row r="13" spans="1:4">
      <c r="A13" s="299" t="s">
        <v>782</v>
      </c>
      <c r="B13" s="312"/>
      <c r="C13" s="313" t="s">
        <v>542</v>
      </c>
      <c r="D13" s="301">
        <v>1718212555</v>
      </c>
    </row>
    <row r="14" spans="1:4">
      <c r="A14" s="299" t="s">
        <v>783</v>
      </c>
      <c r="B14" s="312"/>
      <c r="C14" s="313" t="s">
        <v>546</v>
      </c>
      <c r="D14" s="301"/>
    </row>
    <row r="15" spans="1:4">
      <c r="A15" s="299" t="s">
        <v>776</v>
      </c>
      <c r="B15" s="312"/>
      <c r="C15" s="313" t="s">
        <v>548</v>
      </c>
      <c r="D15" s="314"/>
    </row>
    <row r="16" spans="1:4">
      <c r="A16" s="299"/>
      <c r="B16" s="315"/>
      <c r="C16" s="308" t="s">
        <v>549</v>
      </c>
      <c r="D16" s="314"/>
    </row>
    <row r="17" spans="1:5" ht="0.75" customHeight="1">
      <c r="A17" s="299" t="s">
        <v>777</v>
      </c>
      <c r="B17" s="315"/>
      <c r="C17" s="308"/>
      <c r="D17" s="314"/>
    </row>
    <row r="18" spans="1:5">
      <c r="A18" s="299" t="s">
        <v>550</v>
      </c>
      <c r="B18" s="299" t="s">
        <v>551</v>
      </c>
      <c r="C18" s="299" t="s">
        <v>746</v>
      </c>
      <c r="D18" s="299" t="s">
        <v>747</v>
      </c>
    </row>
    <row r="19" spans="1:5">
      <c r="A19" s="297">
        <v>1</v>
      </c>
      <c r="B19" s="298">
        <v>2</v>
      </c>
      <c r="C19" s="298">
        <v>3</v>
      </c>
      <c r="D19" s="298">
        <v>4</v>
      </c>
    </row>
    <row r="20" spans="1:5">
      <c r="A20" s="300" t="s">
        <v>623</v>
      </c>
      <c r="B20" s="301"/>
      <c r="C20" s="301"/>
      <c r="D20" s="301"/>
    </row>
    <row r="21" spans="1:5">
      <c r="A21" s="302" t="s">
        <v>624</v>
      </c>
      <c r="B21" s="294"/>
      <c r="C21" s="292"/>
      <c r="D21" s="292"/>
    </row>
    <row r="22" spans="1:5">
      <c r="A22" s="302" t="s">
        <v>625</v>
      </c>
      <c r="B22" s="295"/>
      <c r="C22" s="292"/>
      <c r="D22" s="292"/>
    </row>
    <row r="23" spans="1:5">
      <c r="A23" s="302" t="s">
        <v>626</v>
      </c>
      <c r="B23" s="304" t="s">
        <v>69</v>
      </c>
      <c r="C23" s="292">
        <v>853481</v>
      </c>
      <c r="D23" s="547">
        <v>853481</v>
      </c>
    </row>
    <row r="24" spans="1:5">
      <c r="A24" s="303" t="s">
        <v>627</v>
      </c>
      <c r="B24" s="304" t="s">
        <v>70</v>
      </c>
      <c r="C24" s="292">
        <v>70838</v>
      </c>
      <c r="D24" s="548">
        <v>85550</v>
      </c>
    </row>
    <row r="25" spans="1:5">
      <c r="A25" s="303" t="s">
        <v>628</v>
      </c>
      <c r="B25" s="304" t="s">
        <v>206</v>
      </c>
      <c r="C25" s="292">
        <v>782643</v>
      </c>
      <c r="D25" s="463">
        <v>767931</v>
      </c>
    </row>
    <row r="26" spans="1:5">
      <c r="A26" s="303" t="s">
        <v>629</v>
      </c>
      <c r="B26" s="304"/>
      <c r="C26" s="292"/>
      <c r="D26" s="463"/>
    </row>
    <row r="27" spans="1:5">
      <c r="A27" s="303" t="s">
        <v>630</v>
      </c>
      <c r="B27" s="304" t="s">
        <v>143</v>
      </c>
      <c r="C27" s="292"/>
      <c r="D27" s="292"/>
    </row>
    <row r="28" spans="1:5" hidden="1">
      <c r="A28" s="303" t="s">
        <v>631</v>
      </c>
      <c r="B28" s="304" t="s">
        <v>144</v>
      </c>
      <c r="C28" s="292"/>
      <c r="D28" s="292"/>
    </row>
    <row r="29" spans="1:5">
      <c r="A29" s="303" t="s">
        <v>632</v>
      </c>
      <c r="B29" s="304" t="s">
        <v>57</v>
      </c>
      <c r="C29" s="292"/>
      <c r="D29" s="292"/>
    </row>
    <row r="30" spans="1:5">
      <c r="A30" s="303" t="s">
        <v>633</v>
      </c>
      <c r="B30" s="304" t="s">
        <v>58</v>
      </c>
      <c r="C30" s="292">
        <v>3159371</v>
      </c>
      <c r="D30" s="463">
        <v>2389203</v>
      </c>
    </row>
    <row r="31" spans="1:5">
      <c r="A31" s="303" t="s">
        <v>634</v>
      </c>
      <c r="B31" s="304" t="s">
        <v>480</v>
      </c>
      <c r="C31" s="292">
        <v>131280</v>
      </c>
      <c r="D31" s="463">
        <v>131280</v>
      </c>
      <c r="E31" s="465"/>
    </row>
    <row r="32" spans="1:5">
      <c r="A32" s="303" t="s">
        <v>635</v>
      </c>
      <c r="B32" s="304" t="s">
        <v>481</v>
      </c>
      <c r="C32" s="292"/>
      <c r="D32" s="292"/>
    </row>
    <row r="33" spans="1:4">
      <c r="A33" s="303" t="s">
        <v>636</v>
      </c>
      <c r="B33" s="304" t="s">
        <v>482</v>
      </c>
      <c r="C33" s="292">
        <v>3028091</v>
      </c>
      <c r="D33" s="463">
        <v>2257923</v>
      </c>
    </row>
    <row r="34" spans="1:4" ht="13.5" customHeight="1">
      <c r="A34" s="303" t="s">
        <v>637</v>
      </c>
      <c r="B34" s="304" t="s">
        <v>483</v>
      </c>
      <c r="C34" s="292"/>
      <c r="D34" s="292"/>
    </row>
    <row r="35" spans="1:4">
      <c r="A35" s="303" t="s">
        <v>638</v>
      </c>
      <c r="B35" s="304" t="s">
        <v>118</v>
      </c>
      <c r="C35" s="292"/>
      <c r="D35" s="292"/>
    </row>
    <row r="36" spans="1:4">
      <c r="A36" s="303" t="s">
        <v>639</v>
      </c>
      <c r="B36" s="304" t="s">
        <v>348</v>
      </c>
      <c r="C36" s="292">
        <v>0</v>
      </c>
      <c r="D36" s="292"/>
    </row>
    <row r="37" spans="1:4">
      <c r="A37" s="303" t="s">
        <v>640</v>
      </c>
      <c r="B37" s="304" t="s">
        <v>349</v>
      </c>
      <c r="C37" s="292"/>
      <c r="D37" s="292"/>
    </row>
    <row r="38" spans="1:4">
      <c r="A38" s="303" t="s">
        <v>641</v>
      </c>
      <c r="B38" s="304" t="s">
        <v>142</v>
      </c>
      <c r="C38" s="292"/>
      <c r="D38" s="292"/>
    </row>
    <row r="39" spans="1:4">
      <c r="A39" s="303" t="s">
        <v>642</v>
      </c>
      <c r="B39" s="304" t="s">
        <v>117</v>
      </c>
      <c r="C39" s="292"/>
      <c r="D39" s="292"/>
    </row>
    <row r="40" spans="1:4">
      <c r="A40" s="303" t="s">
        <v>643</v>
      </c>
      <c r="B40" s="304" t="s">
        <v>216</v>
      </c>
      <c r="C40" s="292">
        <v>3942014</v>
      </c>
      <c r="D40" s="463">
        <v>3157134</v>
      </c>
    </row>
    <row r="41" spans="1:4">
      <c r="A41" s="303" t="s">
        <v>644</v>
      </c>
      <c r="B41" s="304"/>
      <c r="C41" s="292"/>
      <c r="D41" s="292"/>
    </row>
    <row r="42" spans="1:4">
      <c r="A42" s="302" t="s">
        <v>645</v>
      </c>
      <c r="B42" s="304" t="s">
        <v>0</v>
      </c>
      <c r="C42" s="296">
        <v>1138396</v>
      </c>
      <c r="D42" s="549">
        <v>978758</v>
      </c>
    </row>
    <row r="43" spans="1:4">
      <c r="A43" s="303" t="s">
        <v>646</v>
      </c>
      <c r="B43" s="304" t="s">
        <v>1</v>
      </c>
      <c r="C43" s="292">
        <v>1138396</v>
      </c>
      <c r="D43" s="463">
        <v>978758</v>
      </c>
    </row>
    <row r="44" spans="1:4">
      <c r="A44" s="303" t="s">
        <v>647</v>
      </c>
      <c r="B44" s="304" t="s">
        <v>2</v>
      </c>
      <c r="C44" s="292"/>
      <c r="D44" s="292"/>
    </row>
    <row r="45" spans="1:4">
      <c r="A45" s="303" t="s">
        <v>648</v>
      </c>
      <c r="B45" s="304" t="s">
        <v>3</v>
      </c>
      <c r="C45" s="292">
        <v>0</v>
      </c>
      <c r="D45" s="292"/>
    </row>
    <row r="46" spans="1:4">
      <c r="A46" s="303" t="s">
        <v>649</v>
      </c>
      <c r="B46" s="304" t="s">
        <v>4</v>
      </c>
      <c r="C46" s="292"/>
      <c r="D46" s="292"/>
    </row>
    <row r="47" spans="1:4">
      <c r="A47" s="303" t="s">
        <v>650</v>
      </c>
      <c r="B47" s="304" t="s">
        <v>5</v>
      </c>
      <c r="C47" s="292">
        <v>0</v>
      </c>
      <c r="D47" s="292"/>
    </row>
    <row r="48" spans="1:4">
      <c r="A48" s="303" t="s">
        <v>651</v>
      </c>
      <c r="B48" s="304" t="s">
        <v>6</v>
      </c>
      <c r="C48" s="292"/>
      <c r="D48" s="292"/>
    </row>
    <row r="49" spans="1:4">
      <c r="A49" s="303" t="s">
        <v>652</v>
      </c>
      <c r="B49" s="304" t="s">
        <v>7</v>
      </c>
      <c r="C49" s="292">
        <v>27104109</v>
      </c>
      <c r="D49" s="463">
        <v>32113576</v>
      </c>
    </row>
    <row r="50" spans="1:4">
      <c r="A50" s="303" t="s">
        <v>653</v>
      </c>
      <c r="B50" s="304" t="s">
        <v>654</v>
      </c>
      <c r="C50" s="292"/>
      <c r="D50" s="463"/>
    </row>
    <row r="51" spans="1:4" ht="25.5">
      <c r="A51" s="303" t="s">
        <v>655</v>
      </c>
      <c r="B51" s="304" t="s">
        <v>8</v>
      </c>
      <c r="C51" s="292">
        <v>5705585</v>
      </c>
      <c r="D51" s="463">
        <v>16399719</v>
      </c>
    </row>
    <row r="52" spans="1:4">
      <c r="A52" s="303" t="s">
        <v>656</v>
      </c>
      <c r="B52" s="304" t="s">
        <v>9</v>
      </c>
      <c r="C52" s="292"/>
      <c r="D52" s="463"/>
    </row>
    <row r="53" spans="1:4">
      <c r="A53" s="303" t="s">
        <v>657</v>
      </c>
      <c r="B53" s="304" t="s">
        <v>10</v>
      </c>
      <c r="C53" s="292">
        <v>19068994</v>
      </c>
      <c r="D53" s="463">
        <v>13428994</v>
      </c>
    </row>
    <row r="54" spans="1:4">
      <c r="A54" s="303" t="s">
        <v>658</v>
      </c>
      <c r="B54" s="304" t="s">
        <v>11</v>
      </c>
      <c r="C54" s="292">
        <v>0</v>
      </c>
      <c r="D54" s="292"/>
    </row>
    <row r="55" spans="1:4" ht="25.5">
      <c r="A55" s="303" t="s">
        <v>659</v>
      </c>
      <c r="B55" s="304" t="s">
        <v>12</v>
      </c>
      <c r="C55" s="292"/>
      <c r="D55" s="292"/>
    </row>
    <row r="56" spans="1:4" ht="25.5">
      <c r="A56" s="303" t="s">
        <v>660</v>
      </c>
      <c r="B56" s="304" t="s">
        <v>13</v>
      </c>
      <c r="C56" s="292">
        <v>56500</v>
      </c>
      <c r="D56" s="463">
        <v>21829</v>
      </c>
    </row>
    <row r="57" spans="1:4" ht="25.5">
      <c r="A57" s="303" t="s">
        <v>661</v>
      </c>
      <c r="B57" s="304" t="s">
        <v>584</v>
      </c>
      <c r="C57" s="292">
        <v>9996</v>
      </c>
      <c r="D57" s="292">
        <v>0</v>
      </c>
    </row>
    <row r="58" spans="1:4">
      <c r="A58" s="303" t="s">
        <v>662</v>
      </c>
      <c r="B58" s="304" t="s">
        <v>14</v>
      </c>
      <c r="C58" s="292"/>
      <c r="D58" s="292"/>
    </row>
    <row r="59" spans="1:4">
      <c r="A59" s="305" t="s">
        <v>663</v>
      </c>
      <c r="B59" s="304" t="s">
        <v>589</v>
      </c>
      <c r="C59" s="292">
        <v>2167620</v>
      </c>
      <c r="D59" s="463">
        <v>2167620</v>
      </c>
    </row>
    <row r="60" spans="1:4">
      <c r="A60" s="303" t="s">
        <v>664</v>
      </c>
      <c r="B60" s="304" t="s">
        <v>591</v>
      </c>
      <c r="C60" s="292">
        <v>95414</v>
      </c>
      <c r="D60" s="463">
        <v>95414</v>
      </c>
    </row>
    <row r="61" spans="1:4">
      <c r="A61" s="303" t="s">
        <v>665</v>
      </c>
      <c r="B61" s="304" t="s">
        <v>593</v>
      </c>
      <c r="C61" s="292">
        <v>1800</v>
      </c>
      <c r="D61" s="463">
        <v>21825</v>
      </c>
    </row>
    <row r="62" spans="1:4">
      <c r="A62" s="303" t="s">
        <v>666</v>
      </c>
      <c r="B62" s="304" t="s">
        <v>595</v>
      </c>
      <c r="C62" s="292"/>
      <c r="D62" s="292">
        <v>0</v>
      </c>
    </row>
    <row r="63" spans="1:4">
      <c r="A63" s="303" t="s">
        <v>667</v>
      </c>
      <c r="B63" s="304" t="s">
        <v>597</v>
      </c>
      <c r="C63" s="292">
        <v>1800</v>
      </c>
      <c r="D63" s="463">
        <v>21825</v>
      </c>
    </row>
    <row r="64" spans="1:4">
      <c r="A64" s="303" t="s">
        <v>668</v>
      </c>
      <c r="B64" s="304" t="s">
        <v>599</v>
      </c>
      <c r="C64" s="292"/>
      <c r="D64" s="292"/>
    </row>
    <row r="65" spans="1:4">
      <c r="A65" s="303" t="s">
        <v>669</v>
      </c>
      <c r="B65" s="304" t="s">
        <v>601</v>
      </c>
      <c r="C65" s="292">
        <v>0</v>
      </c>
      <c r="D65" s="292"/>
    </row>
    <row r="66" spans="1:4">
      <c r="A66" s="303" t="s">
        <v>670</v>
      </c>
      <c r="B66" s="304" t="s">
        <v>602</v>
      </c>
      <c r="C66" s="292"/>
      <c r="D66" s="292"/>
    </row>
    <row r="67" spans="1:4">
      <c r="A67" s="303" t="s">
        <v>671</v>
      </c>
      <c r="B67" s="304" t="s">
        <v>604</v>
      </c>
      <c r="C67" s="292">
        <v>0</v>
      </c>
      <c r="D67" s="292"/>
    </row>
    <row r="68" spans="1:4">
      <c r="A68" s="303" t="s">
        <v>672</v>
      </c>
      <c r="B68" s="304" t="s">
        <v>606</v>
      </c>
      <c r="C68" s="292">
        <v>28244305</v>
      </c>
      <c r="D68" s="463">
        <v>33114159</v>
      </c>
    </row>
    <row r="69" spans="1:4">
      <c r="A69" s="462" t="s">
        <v>673</v>
      </c>
      <c r="B69" s="304" t="s">
        <v>608</v>
      </c>
      <c r="C69" s="296">
        <v>32186319</v>
      </c>
      <c r="D69" s="549">
        <v>36271293</v>
      </c>
    </row>
    <row r="70" spans="1:4">
      <c r="A70" s="462"/>
      <c r="B70" s="304"/>
      <c r="C70" s="296"/>
      <c r="D70" s="296"/>
    </row>
    <row r="71" spans="1:4">
      <c r="A71" s="302" t="s">
        <v>674</v>
      </c>
      <c r="B71" s="295"/>
      <c r="C71" s="292"/>
      <c r="D71" s="292"/>
    </row>
    <row r="72" spans="1:4">
      <c r="A72" s="302" t="s">
        <v>33</v>
      </c>
      <c r="B72" s="295">
        <v>410</v>
      </c>
      <c r="C72" s="292">
        <v>1463356</v>
      </c>
      <c r="D72" s="463">
        <v>1463356</v>
      </c>
    </row>
    <row r="73" spans="1:4">
      <c r="A73" s="305" t="s">
        <v>675</v>
      </c>
      <c r="B73" s="304" t="s">
        <v>611</v>
      </c>
      <c r="C73" s="292"/>
      <c r="D73" s="463"/>
    </row>
    <row r="74" spans="1:4">
      <c r="A74" s="305" t="s">
        <v>149</v>
      </c>
      <c r="B74" s="304" t="s">
        <v>613</v>
      </c>
      <c r="C74" s="292">
        <v>683353</v>
      </c>
      <c r="D74" s="463">
        <v>683353</v>
      </c>
    </row>
    <row r="75" spans="1:4">
      <c r="A75" s="305" t="s">
        <v>170</v>
      </c>
      <c r="B75" s="304" t="s">
        <v>615</v>
      </c>
      <c r="C75" s="292"/>
      <c r="D75" s="292"/>
    </row>
    <row r="76" spans="1:4">
      <c r="A76" s="305" t="s">
        <v>676</v>
      </c>
      <c r="B76" s="304" t="s">
        <v>617</v>
      </c>
      <c r="C76" s="463">
        <v>-8523367</v>
      </c>
      <c r="D76" s="463">
        <v>-9061700</v>
      </c>
    </row>
    <row r="77" spans="1:4">
      <c r="A77" s="305" t="s">
        <v>677</v>
      </c>
      <c r="B77" s="304" t="s">
        <v>619</v>
      </c>
      <c r="C77" s="292">
        <v>15291067</v>
      </c>
      <c r="D77" s="292">
        <v>12744821</v>
      </c>
    </row>
    <row r="78" spans="1:4">
      <c r="A78" s="305" t="s">
        <v>678</v>
      </c>
      <c r="B78" s="304" t="s">
        <v>620</v>
      </c>
      <c r="C78" s="292">
        <v>0</v>
      </c>
      <c r="D78" s="292"/>
    </row>
    <row r="79" spans="1:4">
      <c r="A79" s="305" t="s">
        <v>679</v>
      </c>
      <c r="B79" s="304" t="s">
        <v>622</v>
      </c>
      <c r="C79" s="292">
        <v>8914409</v>
      </c>
      <c r="D79" s="292">
        <v>5829830</v>
      </c>
    </row>
    <row r="80" spans="1:4">
      <c r="A80" s="305" t="s">
        <v>680</v>
      </c>
      <c r="B80" s="304"/>
      <c r="C80" s="292"/>
      <c r="D80" s="292"/>
    </row>
    <row r="81" spans="1:4">
      <c r="A81" s="297" t="s">
        <v>681</v>
      </c>
      <c r="B81" s="294">
        <v>490</v>
      </c>
      <c r="C81" s="292">
        <v>0</v>
      </c>
      <c r="D81" s="292"/>
    </row>
    <row r="82" spans="1:4" ht="25.5">
      <c r="A82" s="305" t="s">
        <v>682</v>
      </c>
      <c r="B82" s="304" t="s">
        <v>683</v>
      </c>
      <c r="C82" s="292">
        <v>0</v>
      </c>
      <c r="D82" s="292"/>
    </row>
    <row r="83" spans="1:4" ht="15.75" customHeight="1">
      <c r="A83" s="305" t="s">
        <v>684</v>
      </c>
      <c r="B83" s="304" t="s">
        <v>685</v>
      </c>
      <c r="C83" s="292"/>
      <c r="D83" s="292"/>
    </row>
    <row r="84" spans="1:4">
      <c r="A84" s="305" t="s">
        <v>686</v>
      </c>
      <c r="B84" s="304" t="s">
        <v>687</v>
      </c>
      <c r="C84" s="292"/>
      <c r="D84" s="292"/>
    </row>
    <row r="85" spans="1:4">
      <c r="A85" s="305" t="s">
        <v>688</v>
      </c>
      <c r="B85" s="304" t="s">
        <v>689</v>
      </c>
      <c r="C85" s="292"/>
      <c r="D85" s="292"/>
    </row>
    <row r="86" spans="1:4">
      <c r="A86" s="305" t="s">
        <v>690</v>
      </c>
      <c r="B86" s="304" t="s">
        <v>691</v>
      </c>
      <c r="C86" s="292"/>
      <c r="D86" s="292"/>
    </row>
    <row r="87" spans="1:4" ht="25.5">
      <c r="A87" s="305" t="s">
        <v>692</v>
      </c>
      <c r="B87" s="304" t="s">
        <v>693</v>
      </c>
      <c r="C87" s="292"/>
      <c r="D87" s="292"/>
    </row>
    <row r="88" spans="1:4">
      <c r="A88" s="305" t="s">
        <v>694</v>
      </c>
      <c r="B88" s="304" t="s">
        <v>695</v>
      </c>
      <c r="C88" s="292"/>
      <c r="D88" s="292"/>
    </row>
    <row r="89" spans="1:4">
      <c r="A89" s="305" t="s">
        <v>696</v>
      </c>
      <c r="B89" s="304" t="s">
        <v>697</v>
      </c>
      <c r="C89" s="292"/>
      <c r="D89" s="292"/>
    </row>
    <row r="90" spans="1:4">
      <c r="A90" s="305" t="s">
        <v>698</v>
      </c>
      <c r="B90" s="304" t="s">
        <v>699</v>
      </c>
      <c r="C90" s="292"/>
      <c r="D90" s="292"/>
    </row>
    <row r="91" spans="1:4">
      <c r="A91" s="305" t="s">
        <v>700</v>
      </c>
      <c r="B91" s="304" t="s">
        <v>701</v>
      </c>
      <c r="C91" s="292"/>
      <c r="D91" s="292"/>
    </row>
    <row r="92" spans="1:4">
      <c r="A92" s="305" t="s">
        <v>702</v>
      </c>
      <c r="B92" s="304" t="s">
        <v>703</v>
      </c>
      <c r="C92" s="292"/>
      <c r="D92" s="292"/>
    </row>
    <row r="93" spans="1:4" ht="38.25">
      <c r="A93" s="305" t="s">
        <v>745</v>
      </c>
      <c r="B93" s="304" t="s">
        <v>704</v>
      </c>
      <c r="C93" s="292">
        <v>23271910</v>
      </c>
      <c r="D93" s="463">
        <v>30411463</v>
      </c>
    </row>
    <row r="94" spans="1:4" ht="25.5">
      <c r="A94" s="305" t="s">
        <v>705</v>
      </c>
      <c r="B94" s="304" t="s">
        <v>706</v>
      </c>
      <c r="C94" s="292">
        <v>23271910</v>
      </c>
      <c r="D94" s="463">
        <v>30411463</v>
      </c>
    </row>
    <row r="95" spans="1:4">
      <c r="A95" s="305" t="s">
        <v>707</v>
      </c>
      <c r="B95" s="304" t="s">
        <v>708</v>
      </c>
      <c r="C95" s="292"/>
      <c r="D95" s="463"/>
    </row>
    <row r="96" spans="1:4">
      <c r="A96" s="305" t="s">
        <v>709</v>
      </c>
      <c r="B96" s="304" t="s">
        <v>710</v>
      </c>
      <c r="C96" s="292">
        <v>738016</v>
      </c>
      <c r="D96" s="463">
        <v>340091</v>
      </c>
    </row>
    <row r="97" spans="1:4">
      <c r="A97" s="305" t="s">
        <v>711</v>
      </c>
      <c r="B97" s="304" t="s">
        <v>712</v>
      </c>
      <c r="C97" s="292"/>
      <c r="D97" s="292"/>
    </row>
    <row r="98" spans="1:4">
      <c r="A98" s="305" t="s">
        <v>713</v>
      </c>
      <c r="B98" s="304" t="s">
        <v>714</v>
      </c>
      <c r="C98" s="292"/>
      <c r="D98" s="463">
        <v>55789</v>
      </c>
    </row>
    <row r="99" spans="1:4">
      <c r="A99" s="305" t="s">
        <v>715</v>
      </c>
      <c r="B99" s="304" t="s">
        <v>716</v>
      </c>
      <c r="C99" s="292"/>
      <c r="D99" s="292"/>
    </row>
    <row r="100" spans="1:4" ht="25.5">
      <c r="A100" s="305" t="s">
        <v>717</v>
      </c>
      <c r="B100" s="304" t="s">
        <v>718</v>
      </c>
      <c r="C100" s="292"/>
      <c r="D100" s="292"/>
    </row>
    <row r="101" spans="1:4">
      <c r="A101" s="305" t="s">
        <v>719</v>
      </c>
      <c r="B101" s="304" t="s">
        <v>720</v>
      </c>
      <c r="C101" s="292"/>
      <c r="D101" s="292"/>
    </row>
    <row r="102" spans="1:4">
      <c r="A102" s="305" t="s">
        <v>721</v>
      </c>
      <c r="B102" s="304" t="s">
        <v>722</v>
      </c>
      <c r="C102" s="292">
        <v>21878166</v>
      </c>
      <c r="D102" s="550">
        <v>29991342</v>
      </c>
    </row>
    <row r="103" spans="1:4">
      <c r="A103" s="305" t="s">
        <v>723</v>
      </c>
      <c r="B103" s="304" t="s">
        <v>724</v>
      </c>
      <c r="C103" s="292">
        <v>482561</v>
      </c>
      <c r="D103" s="463">
        <v>3663</v>
      </c>
    </row>
    <row r="104" spans="1:4">
      <c r="A104" s="305" t="s">
        <v>725</v>
      </c>
      <c r="B104" s="304" t="s">
        <v>726</v>
      </c>
      <c r="C104" s="292"/>
      <c r="D104" s="292"/>
    </row>
    <row r="105" spans="1:4">
      <c r="A105" s="305" t="s">
        <v>727</v>
      </c>
      <c r="B105" s="304" t="s">
        <v>728</v>
      </c>
      <c r="C105" s="292">
        <v>153167</v>
      </c>
      <c r="D105" s="551">
        <v>0</v>
      </c>
    </row>
    <row r="106" spans="1:4">
      <c r="A106" s="305" t="s">
        <v>729</v>
      </c>
      <c r="B106" s="304" t="s">
        <v>730</v>
      </c>
      <c r="C106" s="292">
        <v>20000</v>
      </c>
      <c r="D106" s="463">
        <v>15000</v>
      </c>
    </row>
    <row r="107" spans="1:4">
      <c r="A107" s="305" t="s">
        <v>731</v>
      </c>
      <c r="B107" s="304" t="s">
        <v>732</v>
      </c>
      <c r="C107" s="292">
        <v>0</v>
      </c>
      <c r="D107" s="463">
        <v>5578</v>
      </c>
    </row>
    <row r="108" spans="1:4">
      <c r="A108" s="305" t="s">
        <v>733</v>
      </c>
      <c r="B108" s="304" t="s">
        <v>734</v>
      </c>
      <c r="C108" s="292">
        <v>0</v>
      </c>
      <c r="D108" s="292"/>
    </row>
    <row r="109" spans="1:4" ht="0.75" customHeight="1">
      <c r="A109" s="305" t="s">
        <v>735</v>
      </c>
      <c r="B109" s="304" t="s">
        <v>736</v>
      </c>
      <c r="C109" s="292"/>
      <c r="D109" s="292"/>
    </row>
    <row r="110" spans="1:4" hidden="1">
      <c r="A110" s="305" t="s">
        <v>737</v>
      </c>
      <c r="B110" s="304" t="s">
        <v>738</v>
      </c>
      <c r="C110" s="292"/>
      <c r="D110" s="292"/>
    </row>
    <row r="111" spans="1:4">
      <c r="A111" s="305" t="s">
        <v>739</v>
      </c>
      <c r="B111" s="304" t="s">
        <v>740</v>
      </c>
      <c r="C111" s="292"/>
      <c r="D111" s="292"/>
    </row>
    <row r="112" spans="1:4">
      <c r="A112" s="305" t="s">
        <v>741</v>
      </c>
      <c r="B112" s="304" t="s">
        <v>742</v>
      </c>
      <c r="C112" s="292">
        <v>23271910</v>
      </c>
      <c r="D112" s="463">
        <v>30441463</v>
      </c>
    </row>
    <row r="113" spans="1:4">
      <c r="A113" s="464" t="s">
        <v>743</v>
      </c>
      <c r="B113" s="304" t="s">
        <v>744</v>
      </c>
      <c r="C113" s="296">
        <v>32186319</v>
      </c>
      <c r="D113" s="549">
        <v>36271293</v>
      </c>
    </row>
    <row r="114" spans="1:4">
      <c r="A114" s="305"/>
      <c r="B114" s="304"/>
      <c r="C114" s="296">
        <v>0</v>
      </c>
      <c r="D114" s="296">
        <v>0</v>
      </c>
    </row>
    <row r="115" spans="1:4">
      <c r="A115" s="317" t="s">
        <v>748</v>
      </c>
      <c r="B115" s="81"/>
      <c r="C115" s="318"/>
      <c r="D115" s="407"/>
    </row>
    <row r="116" spans="1:4" ht="38.25" customHeight="1">
      <c r="A116" s="473" t="s">
        <v>550</v>
      </c>
      <c r="B116" s="473" t="s">
        <v>551</v>
      </c>
      <c r="C116" s="473" t="s">
        <v>746</v>
      </c>
      <c r="D116" s="473" t="s">
        <v>747</v>
      </c>
    </row>
    <row r="117" spans="1:4">
      <c r="A117" s="297">
        <v>1</v>
      </c>
      <c r="B117" s="298">
        <v>2</v>
      </c>
      <c r="C117" s="298">
        <v>3</v>
      </c>
      <c r="D117" s="298">
        <v>4</v>
      </c>
    </row>
    <row r="118" spans="1:4">
      <c r="A118" s="300" t="s">
        <v>749</v>
      </c>
      <c r="B118" s="301">
        <v>790</v>
      </c>
      <c r="C118" s="301"/>
      <c r="D118" s="301"/>
    </row>
    <row r="119" spans="1:4" ht="18" customHeight="1">
      <c r="A119" s="306" t="s">
        <v>750</v>
      </c>
      <c r="B119" s="304" t="s">
        <v>751</v>
      </c>
      <c r="C119" s="307"/>
      <c r="D119" s="307"/>
    </row>
    <row r="120" spans="1:4">
      <c r="A120" s="306" t="s">
        <v>752</v>
      </c>
      <c r="B120" s="304" t="s">
        <v>753</v>
      </c>
      <c r="C120" s="307"/>
      <c r="D120" s="307"/>
    </row>
    <row r="121" spans="1:4">
      <c r="A121" s="306" t="s">
        <v>754</v>
      </c>
      <c r="B121" s="304" t="s">
        <v>755</v>
      </c>
      <c r="C121" s="307"/>
      <c r="D121" s="307"/>
    </row>
    <row r="122" spans="1:4">
      <c r="A122" s="306" t="s">
        <v>756</v>
      </c>
      <c r="B122" s="304" t="s">
        <v>757</v>
      </c>
      <c r="C122" s="307"/>
      <c r="D122" s="307"/>
    </row>
    <row r="123" spans="1:4">
      <c r="A123" s="306" t="s">
        <v>758</v>
      </c>
      <c r="B123" s="304" t="s">
        <v>759</v>
      </c>
      <c r="C123" s="307"/>
      <c r="D123" s="307"/>
    </row>
    <row r="124" spans="1:4" ht="17.25" customHeight="1">
      <c r="A124" s="306" t="s">
        <v>760</v>
      </c>
      <c r="B124" s="304" t="s">
        <v>761</v>
      </c>
      <c r="C124" s="307"/>
      <c r="D124" s="307"/>
    </row>
    <row r="125" spans="1:4">
      <c r="A125" s="306" t="s">
        <v>762</v>
      </c>
      <c r="B125" s="304" t="s">
        <v>763</v>
      </c>
      <c r="C125" s="307"/>
      <c r="D125" s="307"/>
    </row>
    <row r="126" spans="1:4">
      <c r="A126" s="306" t="s">
        <v>764</v>
      </c>
      <c r="B126" s="304" t="s">
        <v>765</v>
      </c>
      <c r="C126" s="307"/>
      <c r="D126" s="307"/>
    </row>
    <row r="127" spans="1:4" ht="18" customHeight="1">
      <c r="A127" s="306" t="s">
        <v>766</v>
      </c>
      <c r="B127" s="304" t="s">
        <v>767</v>
      </c>
      <c r="C127" s="307"/>
      <c r="D127" s="307"/>
    </row>
    <row r="128" spans="1:4">
      <c r="A128" s="306" t="s">
        <v>768</v>
      </c>
      <c r="B128" s="304" t="s">
        <v>769</v>
      </c>
      <c r="C128" s="307"/>
      <c r="D128" s="307"/>
    </row>
    <row r="129" spans="1:4" ht="15.75" customHeight="1">
      <c r="A129" s="306" t="s">
        <v>770</v>
      </c>
      <c r="B129" s="304" t="s">
        <v>771</v>
      </c>
      <c r="C129" s="307"/>
      <c r="D129" s="307"/>
    </row>
    <row r="130" spans="1:4">
      <c r="A130" s="306" t="s">
        <v>772</v>
      </c>
      <c r="B130" s="304" t="s">
        <v>773</v>
      </c>
      <c r="C130" s="307"/>
      <c r="D130" s="307"/>
    </row>
    <row r="131" spans="1:4" ht="1.5" customHeight="1">
      <c r="A131" s="306" t="s">
        <v>774</v>
      </c>
      <c r="B131" s="304" t="s">
        <v>775</v>
      </c>
      <c r="C131" s="307"/>
      <c r="D131" s="307"/>
    </row>
    <row r="132" spans="1:4" ht="1.5" customHeight="1">
      <c r="A132" s="306"/>
      <c r="B132" s="304"/>
      <c r="C132" s="307"/>
      <c r="D132" s="307"/>
    </row>
    <row r="133" spans="1:4">
      <c r="A133" s="82" t="s">
        <v>877</v>
      </c>
      <c r="B133" s="82"/>
      <c r="C133" s="82"/>
      <c r="D133" s="273"/>
    </row>
    <row r="134" spans="1:4">
      <c r="A134" s="281" t="s">
        <v>879</v>
      </c>
    </row>
  </sheetData>
  <sortState ref="A1004">
    <sortCondition ref="A1004"/>
  </sortState>
  <phoneticPr fontId="0" type="noConversion"/>
  <pageMargins left="0.9055118110236221" right="0.19685039370078741" top="0.43" bottom="0.35433070866141736" header="0.19685039370078741" footer="0.19685039370078741"/>
  <pageSetup paperSize="9" scale="90" orientation="portrait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00B0F0"/>
    <pageSetUpPr fitToPage="1"/>
  </sheetPr>
  <dimension ref="A2:H45"/>
  <sheetViews>
    <sheetView workbookViewId="0"/>
  </sheetViews>
  <sheetFormatPr defaultRowHeight="15.75"/>
  <cols>
    <col min="1" max="1" width="63" style="382" customWidth="1"/>
    <col min="2" max="2" width="13.140625" style="382" customWidth="1"/>
    <col min="3" max="3" width="15.28515625" style="382" customWidth="1"/>
    <col min="4" max="4" width="10.85546875" style="382" hidden="1" customWidth="1"/>
    <col min="5" max="6" width="9.140625" style="382" customWidth="1"/>
    <col min="7" max="7" width="9.140625" style="382"/>
    <col min="8" max="8" width="11.7109375" style="382" customWidth="1"/>
    <col min="9" max="16384" width="9.140625" style="382"/>
  </cols>
  <sheetData>
    <row r="2" spans="1:4" s="381" customFormat="1">
      <c r="A2" s="531" t="s">
        <v>874</v>
      </c>
      <c r="B2" s="532"/>
      <c r="C2" s="532"/>
    </row>
    <row r="3" spans="1:4" s="395" customFormat="1" ht="18.75">
      <c r="A3" s="533" t="s">
        <v>219</v>
      </c>
      <c r="B3" s="533"/>
      <c r="C3" s="533"/>
    </row>
    <row r="4" spans="1:4" ht="18" customHeight="1" thickBot="1"/>
    <row r="5" spans="1:4" s="381" customFormat="1" ht="16.5" thickBot="1">
      <c r="A5" s="534" t="s">
        <v>220</v>
      </c>
      <c r="B5" s="537" t="s">
        <v>335</v>
      </c>
      <c r="C5" s="538"/>
    </row>
    <row r="6" spans="1:4" s="381" customFormat="1">
      <c r="A6" s="535"/>
      <c r="B6" s="383" t="s">
        <v>400</v>
      </c>
      <c r="C6" s="383" t="s">
        <v>242</v>
      </c>
    </row>
    <row r="7" spans="1:4" s="381" customFormat="1" ht="16.5" thickBot="1">
      <c r="A7" s="536"/>
      <c r="B7" s="384" t="s">
        <v>152</v>
      </c>
      <c r="C7" s="384" t="s">
        <v>334</v>
      </c>
    </row>
    <row r="8" spans="1:4">
      <c r="A8" s="385" t="s">
        <v>795</v>
      </c>
      <c r="B8" s="386" t="e">
        <f>B9+B10</f>
        <v>#REF!</v>
      </c>
      <c r="C8" s="386" t="e">
        <f>C9+C10</f>
        <v>#REF!</v>
      </c>
    </row>
    <row r="9" spans="1:4">
      <c r="A9" s="385" t="s">
        <v>846</v>
      </c>
      <c r="B9" s="386"/>
      <c r="C9" s="386"/>
    </row>
    <row r="10" spans="1:4">
      <c r="A10" s="387" t="s">
        <v>393</v>
      </c>
      <c r="B10" s="386" t="e">
        <f>#REF!</f>
        <v>#REF!</v>
      </c>
      <c r="C10" s="386" t="e">
        <f>#REF!</f>
        <v>#REF!</v>
      </c>
      <c r="D10" s="382" t="e">
        <f>C10/B10</f>
        <v>#REF!</v>
      </c>
    </row>
    <row r="11" spans="1:4">
      <c r="A11" s="385" t="s">
        <v>394</v>
      </c>
      <c r="B11" s="386" t="e">
        <f>#REF!</f>
        <v>#REF!</v>
      </c>
      <c r="C11" s="386" t="e">
        <f>#REF!</f>
        <v>#REF!</v>
      </c>
      <c r="D11" s="382" t="e">
        <f>C11/B11</f>
        <v>#REF!</v>
      </c>
    </row>
    <row r="12" spans="1:4">
      <c r="A12" s="385" t="s">
        <v>175</v>
      </c>
      <c r="B12" s="386"/>
      <c r="C12" s="386"/>
    </row>
    <row r="13" spans="1:4">
      <c r="A13" s="385" t="s">
        <v>847</v>
      </c>
      <c r="B13" s="386">
        <f>'уруг олди-берди'!H12/1000</f>
        <v>7.2190000000000003</v>
      </c>
      <c r="C13" s="386">
        <f>'уруг олди-берди'!I12/1000</f>
        <v>59378.173999999999</v>
      </c>
      <c r="D13" s="382">
        <f>C13/B13</f>
        <v>8225.2630558249057</v>
      </c>
    </row>
    <row r="14" spans="1:4">
      <c r="A14" s="385" t="s">
        <v>848</v>
      </c>
      <c r="B14" s="386">
        <f>'уруг олди-берди'!H13/1000</f>
        <v>465.33499999999998</v>
      </c>
      <c r="C14" s="386">
        <f>'уруг олди-берди'!I13/1000</f>
        <v>1927644.6410000001</v>
      </c>
    </row>
    <row r="15" spans="1:4">
      <c r="A15" s="385" t="s">
        <v>849</v>
      </c>
      <c r="B15" s="386"/>
      <c r="C15" s="386"/>
    </row>
    <row r="16" spans="1:4">
      <c r="A16" s="385" t="s">
        <v>850</v>
      </c>
      <c r="B16" s="386"/>
      <c r="C16" s="386"/>
    </row>
    <row r="17" spans="1:4">
      <c r="A17" s="385" t="s">
        <v>225</v>
      </c>
      <c r="B17" s="386"/>
      <c r="C17" s="386"/>
    </row>
    <row r="18" spans="1:4" s="389" customFormat="1" ht="31.5">
      <c r="A18" s="388" t="s">
        <v>187</v>
      </c>
      <c r="B18" s="386">
        <v>1098.5</v>
      </c>
      <c r="C18" s="386">
        <v>6920327</v>
      </c>
    </row>
    <row r="19" spans="1:4">
      <c r="A19" s="385" t="s">
        <v>188</v>
      </c>
      <c r="B19" s="386"/>
      <c r="C19" s="386"/>
    </row>
    <row r="20" spans="1:4">
      <c r="A20" s="385" t="s">
        <v>218</v>
      </c>
      <c r="B20" s="386"/>
      <c r="C20" s="386"/>
    </row>
    <row r="21" spans="1:4" s="392" customFormat="1">
      <c r="A21" s="390" t="s">
        <v>176</v>
      </c>
      <c r="B21" s="391" t="e">
        <f>SUM(B11:B20)</f>
        <v>#REF!</v>
      </c>
      <c r="C21" s="391" t="e">
        <f>SUM(C11:C20)</f>
        <v>#REF!</v>
      </c>
    </row>
    <row r="22" spans="1:4">
      <c r="A22" s="385"/>
      <c r="B22" s="386"/>
      <c r="C22" s="386"/>
    </row>
    <row r="23" spans="1:4" s="389" customFormat="1" ht="31.5">
      <c r="A23" s="388" t="s">
        <v>71</v>
      </c>
      <c r="B23" s="386">
        <v>1098.5</v>
      </c>
      <c r="C23" s="386">
        <v>2246289</v>
      </c>
      <c r="D23" s="382">
        <f t="shared" ref="D23:D33" si="0">C23/B23</f>
        <v>2044.8693673190714</v>
      </c>
    </row>
    <row r="24" spans="1:4">
      <c r="A24" s="385" t="s">
        <v>44</v>
      </c>
      <c r="B24" s="386">
        <v>86.4</v>
      </c>
      <c r="C24" s="386">
        <v>12701.4</v>
      </c>
      <c r="D24" s="382">
        <f t="shared" si="0"/>
        <v>147.00694444444443</v>
      </c>
    </row>
    <row r="25" spans="1:4">
      <c r="A25" s="385" t="s">
        <v>19</v>
      </c>
      <c r="B25" s="386"/>
      <c r="C25" s="386"/>
    </row>
    <row r="26" spans="1:4">
      <c r="A26" s="385" t="s">
        <v>851</v>
      </c>
      <c r="B26" s="386">
        <f>'уруг олди-берди'!H29/1000</f>
        <v>380.00099999999998</v>
      </c>
      <c r="C26" s="386">
        <f>'уруг олди-берди'!I29/1000</f>
        <v>2247439.0090000001</v>
      </c>
      <c r="D26" s="382">
        <f t="shared" si="0"/>
        <v>5914.2976176378488</v>
      </c>
    </row>
    <row r="27" spans="1:4">
      <c r="A27" s="385" t="s">
        <v>852</v>
      </c>
      <c r="B27" s="386">
        <f>'уруг олди-берди'!H30/1000</f>
        <v>154.92400000000001</v>
      </c>
      <c r="C27" s="386">
        <f>'уруг олди-берди'!I30/1000</f>
        <v>890480.78200000001</v>
      </c>
    </row>
    <row r="28" spans="1:4">
      <c r="A28" s="385" t="s">
        <v>853</v>
      </c>
      <c r="B28" s="386"/>
      <c r="C28" s="386"/>
    </row>
    <row r="29" spans="1:4">
      <c r="A29" s="385" t="s">
        <v>854</v>
      </c>
      <c r="B29" s="386"/>
      <c r="C29" s="386"/>
    </row>
    <row r="30" spans="1:4">
      <c r="A30" s="385" t="s">
        <v>208</v>
      </c>
      <c r="B30" s="386"/>
      <c r="C30" s="386"/>
    </row>
    <row r="31" spans="1:4">
      <c r="A31" s="385" t="s">
        <v>209</v>
      </c>
      <c r="B31" s="386">
        <f>'уруг хуж'!H27/1000</f>
        <v>625.58600000000001</v>
      </c>
      <c r="C31" s="386">
        <f>'уруг хуж'!I27/1000</f>
        <v>4057218.3509999998</v>
      </c>
      <c r="D31" s="382">
        <f t="shared" si="0"/>
        <v>6485.468586253528</v>
      </c>
    </row>
    <row r="32" spans="1:4">
      <c r="A32" s="385" t="s">
        <v>369</v>
      </c>
      <c r="B32" s="386"/>
      <c r="C32" s="386"/>
    </row>
    <row r="33" spans="1:8">
      <c r="A33" s="385" t="s">
        <v>210</v>
      </c>
      <c r="B33" s="386">
        <v>113.5</v>
      </c>
      <c r="C33" s="386">
        <v>158615</v>
      </c>
      <c r="D33" s="382">
        <f t="shared" si="0"/>
        <v>1397.4889867841409</v>
      </c>
    </row>
    <row r="34" spans="1:8">
      <c r="A34" s="385" t="s">
        <v>211</v>
      </c>
      <c r="B34" s="386"/>
      <c r="C34" s="386"/>
    </row>
    <row r="35" spans="1:8">
      <c r="A35" s="385" t="s">
        <v>324</v>
      </c>
      <c r="B35" s="386"/>
      <c r="C35" s="386"/>
    </row>
    <row r="36" spans="1:8">
      <c r="A36" s="385" t="s">
        <v>325</v>
      </c>
      <c r="B36" s="386"/>
      <c r="C36" s="386"/>
    </row>
    <row r="37" spans="1:8" s="392" customFormat="1">
      <c r="A37" s="390" t="s">
        <v>32</v>
      </c>
      <c r="B37" s="391">
        <f>SUM(B23:B36)-B32</f>
        <v>2458.9110000000001</v>
      </c>
      <c r="C37" s="391">
        <f>SUM(C23:C36)-C32</f>
        <v>9612743.5419999994</v>
      </c>
    </row>
    <row r="38" spans="1:8">
      <c r="A38" s="385"/>
      <c r="B38" s="386"/>
      <c r="C38" s="386"/>
    </row>
    <row r="39" spans="1:8">
      <c r="A39" s="385" t="s">
        <v>875</v>
      </c>
      <c r="B39" s="386" t="e">
        <f>B8+B21-B37</f>
        <v>#REF!</v>
      </c>
      <c r="C39" s="386" t="e">
        <f>C8+C21-C37</f>
        <v>#REF!</v>
      </c>
      <c r="H39" s="393"/>
    </row>
    <row r="40" spans="1:8">
      <c r="A40" s="385" t="s">
        <v>846</v>
      </c>
      <c r="B40" s="386">
        <f>B9+B13+B15+B17+B18-B26-B28-B30-B31-B35</f>
        <v>100.13200000000006</v>
      </c>
      <c r="C40" s="386">
        <f>C9+C13+C15+C17+C18-C26-C28-C30-C31-C35</f>
        <v>675047.81399999931</v>
      </c>
      <c r="D40" s="382">
        <f t="shared" ref="D40" si="1">C40/B40</f>
        <v>6741.5792553828833</v>
      </c>
      <c r="H40" s="393"/>
    </row>
    <row r="41" spans="1:8">
      <c r="A41" s="387" t="s">
        <v>393</v>
      </c>
      <c r="B41" s="386" t="e">
        <f>+B10+B11+B12+B14+B16+B19+B20-B24-B23-B25-B27-B29-B33-B34</f>
        <v>#REF!</v>
      </c>
      <c r="C41" s="386" t="e">
        <f>+C10+C11+C12+C14+C16+C19+C20-C24-C23-C25-C27-C29-C33-C34</f>
        <v>#REF!</v>
      </c>
      <c r="D41" s="393"/>
    </row>
    <row r="43" spans="1:8">
      <c r="A43" s="94" t="s">
        <v>366</v>
      </c>
      <c r="C43" s="394"/>
    </row>
    <row r="44" spans="1:8" ht="24" customHeight="1">
      <c r="A44" s="94" t="s">
        <v>336</v>
      </c>
      <c r="B44" s="393"/>
    </row>
    <row r="45" spans="1:8" ht="24" customHeight="1">
      <c r="A45" s="94" t="s">
        <v>831</v>
      </c>
    </row>
  </sheetData>
  <mergeCells count="4">
    <mergeCell ref="A2:C2"/>
    <mergeCell ref="A3:C3"/>
    <mergeCell ref="A5:A7"/>
    <mergeCell ref="B5:C5"/>
  </mergeCells>
  <phoneticPr fontId="6" type="noConversion"/>
  <pageMargins left="0.8" right="0.19685039370078741" top="0.41" bottom="0.41" header="0.2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00B0F0"/>
  </sheetPr>
  <dimension ref="A1:I35"/>
  <sheetViews>
    <sheetView workbookViewId="0"/>
  </sheetViews>
  <sheetFormatPr defaultRowHeight="15"/>
  <cols>
    <col min="1" max="1" width="4.7109375" style="93" customWidth="1"/>
    <col min="2" max="2" width="32.85546875" style="93" customWidth="1"/>
    <col min="3" max="3" width="11.42578125" style="93" customWidth="1"/>
    <col min="4" max="4" width="16.42578125" style="93" customWidth="1"/>
    <col min="5" max="5" width="14.5703125" style="93" customWidth="1"/>
    <col min="6" max="6" width="17.42578125" style="93" customWidth="1"/>
    <col min="7" max="7" width="10.7109375" style="93" customWidth="1"/>
    <col min="8" max="8" width="12.85546875" style="93" customWidth="1"/>
    <col min="9" max="9" width="15" style="93" customWidth="1"/>
    <col min="10" max="12" width="0" style="93" hidden="1" customWidth="1"/>
    <col min="13" max="16384" width="9.140625" style="93"/>
  </cols>
  <sheetData>
    <row r="1" spans="1:9" s="272" customFormat="1" ht="11.25">
      <c r="A1" s="378"/>
      <c r="B1" s="378"/>
      <c r="C1" s="378"/>
      <c r="D1" s="378"/>
      <c r="E1" s="378"/>
      <c r="F1" s="378"/>
      <c r="G1" s="378"/>
      <c r="H1" s="378"/>
      <c r="I1" s="378"/>
    </row>
    <row r="2" spans="1:9" s="319" customFormat="1" ht="33" customHeight="1">
      <c r="A2" s="539" t="s">
        <v>836</v>
      </c>
      <c r="B2" s="539"/>
      <c r="C2" s="539"/>
      <c r="D2" s="539"/>
      <c r="E2" s="539"/>
      <c r="F2" s="539"/>
      <c r="G2" s="539"/>
      <c r="H2" s="539"/>
      <c r="I2" s="539"/>
    </row>
    <row r="3" spans="1:9" s="362" customFormat="1" ht="18.75">
      <c r="A3" s="540" t="s">
        <v>350</v>
      </c>
      <c r="B3" s="540"/>
      <c r="C3" s="540"/>
      <c r="D3" s="540"/>
      <c r="E3" s="540"/>
      <c r="F3" s="540"/>
      <c r="G3" s="540"/>
      <c r="H3" s="540"/>
      <c r="I3" s="540"/>
    </row>
    <row r="4" spans="1:9" s="272" customFormat="1" ht="11.25">
      <c r="A4" s="378"/>
      <c r="B4" s="378"/>
      <c r="C4" s="378"/>
      <c r="D4" s="378"/>
      <c r="E4" s="378"/>
      <c r="F4" s="378"/>
      <c r="G4" s="378"/>
      <c r="H4" s="378"/>
      <c r="I4" s="378"/>
    </row>
    <row r="5" spans="1:9" ht="33.75" customHeight="1">
      <c r="A5" s="363" t="s">
        <v>116</v>
      </c>
      <c r="B5" s="364" t="s">
        <v>802</v>
      </c>
      <c r="C5" s="364" t="s">
        <v>803</v>
      </c>
      <c r="D5" s="364" t="s">
        <v>804</v>
      </c>
      <c r="E5" s="364" t="s">
        <v>805</v>
      </c>
      <c r="F5" s="364" t="s">
        <v>806</v>
      </c>
      <c r="G5" s="364" t="s">
        <v>807</v>
      </c>
      <c r="H5" s="364" t="s">
        <v>808</v>
      </c>
      <c r="I5" s="364" t="s">
        <v>809</v>
      </c>
    </row>
    <row r="6" spans="1:9">
      <c r="A6" s="375"/>
      <c r="B6" s="376" t="s">
        <v>819</v>
      </c>
      <c r="C6" s="375"/>
      <c r="D6" s="375"/>
      <c r="E6" s="375"/>
      <c r="F6" s="375"/>
      <c r="G6" s="377"/>
      <c r="H6" s="377"/>
      <c r="I6" s="377"/>
    </row>
    <row r="7" spans="1:9">
      <c r="A7" s="363">
        <v>1</v>
      </c>
      <c r="B7" s="370" t="s">
        <v>823</v>
      </c>
      <c r="C7" s="363" t="s">
        <v>810</v>
      </c>
      <c r="D7" s="363" t="s">
        <v>821</v>
      </c>
      <c r="E7" s="363" t="s">
        <v>825</v>
      </c>
      <c r="F7" s="363" t="s">
        <v>834</v>
      </c>
      <c r="G7" s="371">
        <v>4400</v>
      </c>
      <c r="H7" s="371">
        <v>4621</v>
      </c>
      <c r="I7" s="371">
        <v>38357327</v>
      </c>
    </row>
    <row r="8" spans="1:9">
      <c r="A8" s="363">
        <f>A7+1</f>
        <v>2</v>
      </c>
      <c r="B8" s="370" t="s">
        <v>826</v>
      </c>
      <c r="C8" s="363" t="s">
        <v>810</v>
      </c>
      <c r="D8" s="363" t="s">
        <v>821</v>
      </c>
      <c r="E8" s="363" t="s">
        <v>825</v>
      </c>
      <c r="F8" s="363" t="s">
        <v>822</v>
      </c>
      <c r="G8" s="371">
        <v>2500</v>
      </c>
      <c r="H8" s="371">
        <v>2598</v>
      </c>
      <c r="I8" s="371">
        <v>21020847</v>
      </c>
    </row>
    <row r="9" spans="1:9">
      <c r="A9" s="363">
        <f t="shared" ref="A9:A11" si="0">A8+1</f>
        <v>3</v>
      </c>
      <c r="B9" s="370" t="s">
        <v>827</v>
      </c>
      <c r="C9" s="363" t="s">
        <v>810</v>
      </c>
      <c r="D9" s="363" t="s">
        <v>832</v>
      </c>
      <c r="E9" s="363" t="s">
        <v>811</v>
      </c>
      <c r="F9" s="363" t="s">
        <v>812</v>
      </c>
      <c r="G9" s="371">
        <v>59300</v>
      </c>
      <c r="H9" s="371">
        <v>61089</v>
      </c>
      <c r="I9" s="371">
        <v>253885823</v>
      </c>
    </row>
    <row r="10" spans="1:9">
      <c r="A10" s="363">
        <f t="shared" si="0"/>
        <v>4</v>
      </c>
      <c r="B10" s="370" t="s">
        <v>827</v>
      </c>
      <c r="C10" s="363" t="s">
        <v>810</v>
      </c>
      <c r="D10" s="363" t="s">
        <v>833</v>
      </c>
      <c r="E10" s="363" t="s">
        <v>811</v>
      </c>
      <c r="F10" s="363" t="s">
        <v>812</v>
      </c>
      <c r="G10" s="371">
        <v>157710</v>
      </c>
      <c r="H10" s="371">
        <v>162291</v>
      </c>
      <c r="I10" s="371">
        <v>668194080</v>
      </c>
    </row>
    <row r="11" spans="1:9">
      <c r="A11" s="363">
        <f t="shared" si="0"/>
        <v>5</v>
      </c>
      <c r="B11" s="370" t="s">
        <v>827</v>
      </c>
      <c r="C11" s="363" t="s">
        <v>810</v>
      </c>
      <c r="D11" s="363" t="s">
        <v>821</v>
      </c>
      <c r="E11" s="363" t="s">
        <v>811</v>
      </c>
      <c r="F11" s="363" t="s">
        <v>812</v>
      </c>
      <c r="G11" s="371">
        <v>234870</v>
      </c>
      <c r="H11" s="371">
        <v>241955</v>
      </c>
      <c r="I11" s="371">
        <v>1005564738</v>
      </c>
    </row>
    <row r="12" spans="1:9" s="94" customFormat="1">
      <c r="A12" s="363" t="s">
        <v>815</v>
      </c>
      <c r="B12" s="372" t="s">
        <v>816</v>
      </c>
      <c r="C12" s="364" t="s">
        <v>815</v>
      </c>
      <c r="D12" s="364" t="s">
        <v>815</v>
      </c>
      <c r="E12" s="364" t="s">
        <v>815</v>
      </c>
      <c r="F12" s="364" t="s">
        <v>815</v>
      </c>
      <c r="G12" s="373">
        <f>G7+G8</f>
        <v>6900</v>
      </c>
      <c r="H12" s="373">
        <f t="shared" ref="H12:I12" si="1">H7+H8</f>
        <v>7219</v>
      </c>
      <c r="I12" s="373">
        <f t="shared" si="1"/>
        <v>59378174</v>
      </c>
    </row>
    <row r="13" spans="1:9">
      <c r="A13" s="363" t="s">
        <v>815</v>
      </c>
      <c r="B13" s="372" t="s">
        <v>817</v>
      </c>
      <c r="C13" s="364" t="s">
        <v>815</v>
      </c>
      <c r="D13" s="364" t="s">
        <v>815</v>
      </c>
      <c r="E13" s="364" t="s">
        <v>815</v>
      </c>
      <c r="F13" s="364" t="s">
        <v>815</v>
      </c>
      <c r="G13" s="373">
        <f>G9+G10+G11</f>
        <v>451880</v>
      </c>
      <c r="H13" s="373">
        <f t="shared" ref="H13:I13" si="2">H9+H10+H11</f>
        <v>465335</v>
      </c>
      <c r="I13" s="373">
        <f t="shared" si="2"/>
        <v>1927644641</v>
      </c>
    </row>
    <row r="14" spans="1:9">
      <c r="A14" s="363" t="s">
        <v>815</v>
      </c>
      <c r="B14" s="372" t="s">
        <v>818</v>
      </c>
      <c r="C14" s="364" t="s">
        <v>815</v>
      </c>
      <c r="D14" s="364" t="s">
        <v>815</v>
      </c>
      <c r="E14" s="364" t="s">
        <v>815</v>
      </c>
      <c r="F14" s="364" t="s">
        <v>815</v>
      </c>
      <c r="G14" s="373">
        <f>SUM(G12:G13)</f>
        <v>458780</v>
      </c>
      <c r="H14" s="373">
        <f t="shared" ref="H14:I14" si="3">SUM(H12:H13)</f>
        <v>472554</v>
      </c>
      <c r="I14" s="373">
        <f t="shared" si="3"/>
        <v>1987022815</v>
      </c>
    </row>
    <row r="15" spans="1:9">
      <c r="A15" s="365"/>
      <c r="B15" s="366" t="s">
        <v>828</v>
      </c>
      <c r="C15" s="367"/>
      <c r="D15" s="367"/>
      <c r="E15" s="367"/>
      <c r="F15" s="367"/>
      <c r="G15" s="368"/>
      <c r="H15" s="368"/>
      <c r="I15" s="369"/>
    </row>
    <row r="16" spans="1:9">
      <c r="A16" s="363">
        <v>1</v>
      </c>
      <c r="B16" s="370" t="s">
        <v>820</v>
      </c>
      <c r="C16" s="363" t="s">
        <v>810</v>
      </c>
      <c r="D16" s="363" t="s">
        <v>821</v>
      </c>
      <c r="E16" s="363" t="s">
        <v>811</v>
      </c>
      <c r="F16" s="363" t="s">
        <v>812</v>
      </c>
      <c r="G16" s="371">
        <v>134240</v>
      </c>
      <c r="H16" s="371">
        <v>138829</v>
      </c>
      <c r="I16" s="371">
        <f>142531984+607793087</f>
        <v>750325071</v>
      </c>
    </row>
    <row r="17" spans="1:9">
      <c r="A17" s="363">
        <f t="shared" ref="A17:A28" si="4">A16+1</f>
        <v>2</v>
      </c>
      <c r="B17" s="370" t="s">
        <v>820</v>
      </c>
      <c r="C17" s="363" t="s">
        <v>810</v>
      </c>
      <c r="D17" s="363" t="s">
        <v>821</v>
      </c>
      <c r="E17" s="363" t="s">
        <v>813</v>
      </c>
      <c r="F17" s="363" t="s">
        <v>834</v>
      </c>
      <c r="G17" s="371">
        <v>24020</v>
      </c>
      <c r="H17" s="371">
        <v>25120</v>
      </c>
      <c r="I17" s="371">
        <v>195972399</v>
      </c>
    </row>
    <row r="18" spans="1:9">
      <c r="A18" s="363">
        <f t="shared" si="4"/>
        <v>3</v>
      </c>
      <c r="B18" s="370" t="s">
        <v>820</v>
      </c>
      <c r="C18" s="363" t="s">
        <v>810</v>
      </c>
      <c r="D18" s="363" t="s">
        <v>821</v>
      </c>
      <c r="E18" s="363" t="s">
        <v>811</v>
      </c>
      <c r="F18" s="363" t="s">
        <v>834</v>
      </c>
      <c r="G18" s="371">
        <v>109850</v>
      </c>
      <c r="H18" s="371">
        <v>115293</v>
      </c>
      <c r="I18" s="371">
        <f>233555316+448510924</f>
        <v>682066240</v>
      </c>
    </row>
    <row r="19" spans="1:9">
      <c r="A19" s="363">
        <f t="shared" si="4"/>
        <v>4</v>
      </c>
      <c r="B19" s="370" t="s">
        <v>820</v>
      </c>
      <c r="C19" s="363" t="s">
        <v>810</v>
      </c>
      <c r="D19" s="363" t="s">
        <v>821</v>
      </c>
      <c r="E19" s="363" t="s">
        <v>811</v>
      </c>
      <c r="F19" s="363" t="s">
        <v>822</v>
      </c>
      <c r="G19" s="371">
        <v>79870</v>
      </c>
      <c r="H19" s="371">
        <v>83728</v>
      </c>
      <c r="I19" s="371">
        <v>488967166</v>
      </c>
    </row>
    <row r="20" spans="1:9">
      <c r="A20" s="363">
        <f t="shared" si="4"/>
        <v>5</v>
      </c>
      <c r="B20" s="370" t="s">
        <v>820</v>
      </c>
      <c r="C20" s="363" t="s">
        <v>810</v>
      </c>
      <c r="D20" s="363" t="s">
        <v>835</v>
      </c>
      <c r="E20" s="363" t="s">
        <v>825</v>
      </c>
      <c r="F20" s="363" t="s">
        <v>834</v>
      </c>
      <c r="G20" s="371">
        <v>3610</v>
      </c>
      <c r="H20" s="371">
        <v>3787</v>
      </c>
      <c r="I20" s="371">
        <v>36106958</v>
      </c>
    </row>
    <row r="21" spans="1:9">
      <c r="A21" s="363">
        <f t="shared" si="4"/>
        <v>6</v>
      </c>
      <c r="B21" s="370" t="s">
        <v>830</v>
      </c>
      <c r="C21" s="363" t="s">
        <v>810</v>
      </c>
      <c r="D21" s="363" t="s">
        <v>814</v>
      </c>
      <c r="E21" s="363" t="s">
        <v>825</v>
      </c>
      <c r="F21" s="363" t="s">
        <v>812</v>
      </c>
      <c r="G21" s="371">
        <v>15490</v>
      </c>
      <c r="H21" s="371">
        <v>16095</v>
      </c>
      <c r="I21" s="371">
        <v>140155711</v>
      </c>
    </row>
    <row r="22" spans="1:9">
      <c r="A22" s="363">
        <f t="shared" si="4"/>
        <v>7</v>
      </c>
      <c r="B22" s="370" t="s">
        <v>830</v>
      </c>
      <c r="C22" s="363" t="s">
        <v>810</v>
      </c>
      <c r="D22" s="363" t="s">
        <v>824</v>
      </c>
      <c r="E22" s="363" t="s">
        <v>813</v>
      </c>
      <c r="F22" s="363" t="s">
        <v>834</v>
      </c>
      <c r="G22" s="371">
        <v>20220</v>
      </c>
      <c r="H22" s="371">
        <v>21191</v>
      </c>
      <c r="I22" s="371">
        <v>15752686</v>
      </c>
    </row>
    <row r="23" spans="1:9">
      <c r="A23" s="363">
        <f t="shared" si="4"/>
        <v>8</v>
      </c>
      <c r="B23" s="370" t="s">
        <v>830</v>
      </c>
      <c r="C23" s="363" t="s">
        <v>810</v>
      </c>
      <c r="D23" s="363" t="s">
        <v>821</v>
      </c>
      <c r="E23" s="363" t="s">
        <v>811</v>
      </c>
      <c r="F23" s="363" t="s">
        <v>834</v>
      </c>
      <c r="G23" s="371">
        <v>73140</v>
      </c>
      <c r="H23" s="371">
        <v>76679</v>
      </c>
      <c r="I23" s="371">
        <v>453628210</v>
      </c>
    </row>
    <row r="24" spans="1:9">
      <c r="A24" s="363">
        <f t="shared" si="4"/>
        <v>9</v>
      </c>
      <c r="B24" s="370" t="s">
        <v>830</v>
      </c>
      <c r="C24" s="363" t="s">
        <v>810</v>
      </c>
      <c r="D24" s="363" t="s">
        <v>835</v>
      </c>
      <c r="E24" s="363" t="s">
        <v>825</v>
      </c>
      <c r="F24" s="363" t="s">
        <v>834</v>
      </c>
      <c r="G24" s="371">
        <v>1140</v>
      </c>
      <c r="H24" s="371">
        <v>1195</v>
      </c>
      <c r="I24" s="371">
        <v>11393667</v>
      </c>
    </row>
    <row r="25" spans="1:9">
      <c r="A25" s="363">
        <f t="shared" si="4"/>
        <v>10</v>
      </c>
      <c r="B25" s="370" t="s">
        <v>830</v>
      </c>
      <c r="C25" s="363" t="s">
        <v>810</v>
      </c>
      <c r="D25" s="363" t="s">
        <v>835</v>
      </c>
      <c r="E25" s="363" t="s">
        <v>813</v>
      </c>
      <c r="F25" s="363" t="s">
        <v>834</v>
      </c>
      <c r="G25" s="371">
        <v>32260</v>
      </c>
      <c r="H25" s="371">
        <v>34243</v>
      </c>
      <c r="I25" s="371">
        <v>263252616</v>
      </c>
    </row>
    <row r="26" spans="1:9">
      <c r="A26" s="363">
        <f t="shared" si="4"/>
        <v>11</v>
      </c>
      <c r="B26" s="370" t="s">
        <v>830</v>
      </c>
      <c r="C26" s="363" t="s">
        <v>810</v>
      </c>
      <c r="D26" s="363" t="s">
        <v>835</v>
      </c>
      <c r="E26" s="363" t="s">
        <v>811</v>
      </c>
      <c r="F26" s="363" t="s">
        <v>834</v>
      </c>
      <c r="G26" s="371">
        <v>7430</v>
      </c>
      <c r="H26" s="371">
        <v>7886</v>
      </c>
      <c r="I26" s="371">
        <v>46062986</v>
      </c>
    </row>
    <row r="27" spans="1:9">
      <c r="A27" s="363">
        <f t="shared" si="4"/>
        <v>12</v>
      </c>
      <c r="B27" s="370" t="s">
        <v>830</v>
      </c>
      <c r="C27" s="363" t="s">
        <v>810</v>
      </c>
      <c r="D27" s="363" t="s">
        <v>833</v>
      </c>
      <c r="E27" s="363" t="s">
        <v>811</v>
      </c>
      <c r="F27" s="363" t="s">
        <v>829</v>
      </c>
      <c r="G27" s="371">
        <v>3170</v>
      </c>
      <c r="H27" s="371">
        <v>3329</v>
      </c>
      <c r="I27" s="371">
        <v>16506866</v>
      </c>
    </row>
    <row r="28" spans="1:9">
      <c r="A28" s="363">
        <f t="shared" si="4"/>
        <v>13</v>
      </c>
      <c r="B28" s="370" t="s">
        <v>827</v>
      </c>
      <c r="C28" s="363" t="s">
        <v>810</v>
      </c>
      <c r="D28" s="363" t="s">
        <v>832</v>
      </c>
      <c r="E28" s="363" t="s">
        <v>811</v>
      </c>
      <c r="F28" s="363" t="s">
        <v>829</v>
      </c>
      <c r="G28" s="371">
        <v>7190</v>
      </c>
      <c r="H28" s="371">
        <v>7550</v>
      </c>
      <c r="I28" s="371">
        <v>37729215</v>
      </c>
    </row>
    <row r="29" spans="1:9" s="94" customFormat="1">
      <c r="A29" s="363" t="s">
        <v>815</v>
      </c>
      <c r="B29" s="372" t="s">
        <v>816</v>
      </c>
      <c r="C29" s="364" t="s">
        <v>815</v>
      </c>
      <c r="D29" s="364" t="s">
        <v>815</v>
      </c>
      <c r="E29" s="364" t="s">
        <v>815</v>
      </c>
      <c r="F29" s="364" t="s">
        <v>815</v>
      </c>
      <c r="G29" s="373">
        <f>G17+G18+G19+G20+G22+G23+G24+G25+G26+G27+G28</f>
        <v>361900</v>
      </c>
      <c r="H29" s="373">
        <f t="shared" ref="H29:I29" si="5">H17+H18+H19+H20+H22+H23+H24+H25+H26+H27+H28</f>
        <v>380001</v>
      </c>
      <c r="I29" s="373">
        <f t="shared" si="5"/>
        <v>2247439009</v>
      </c>
    </row>
    <row r="30" spans="1:9">
      <c r="A30" s="363" t="s">
        <v>815</v>
      </c>
      <c r="B30" s="372" t="s">
        <v>817</v>
      </c>
      <c r="C30" s="364" t="s">
        <v>815</v>
      </c>
      <c r="D30" s="364" t="s">
        <v>815</v>
      </c>
      <c r="E30" s="364" t="s">
        <v>815</v>
      </c>
      <c r="F30" s="364" t="s">
        <v>815</v>
      </c>
      <c r="G30" s="373">
        <f>G16+G21</f>
        <v>149730</v>
      </c>
      <c r="H30" s="373">
        <f t="shared" ref="H30:I30" si="6">H16+H21</f>
        <v>154924</v>
      </c>
      <c r="I30" s="373">
        <f t="shared" si="6"/>
        <v>890480782</v>
      </c>
    </row>
    <row r="31" spans="1:9">
      <c r="A31" s="363" t="s">
        <v>815</v>
      </c>
      <c r="B31" s="372" t="s">
        <v>818</v>
      </c>
      <c r="C31" s="364" t="s">
        <v>815</v>
      </c>
      <c r="D31" s="364" t="s">
        <v>815</v>
      </c>
      <c r="E31" s="364" t="s">
        <v>815</v>
      </c>
      <c r="F31" s="364" t="s">
        <v>815</v>
      </c>
      <c r="G31" s="373">
        <f>SUM(G29:G30)</f>
        <v>511630</v>
      </c>
      <c r="H31" s="373">
        <f t="shared" ref="H31:I31" si="7">SUM(H29:H30)</f>
        <v>534925</v>
      </c>
      <c r="I31" s="373">
        <f t="shared" si="7"/>
        <v>3137919791</v>
      </c>
    </row>
    <row r="33" spans="1:9" s="94" customFormat="1">
      <c r="A33" s="93"/>
      <c r="B33" s="94" t="s">
        <v>366</v>
      </c>
      <c r="H33" s="374"/>
      <c r="I33" s="374"/>
    </row>
    <row r="34" spans="1:9" s="94" customFormat="1" ht="20.25" customHeight="1">
      <c r="A34" s="93"/>
      <c r="B34" s="94" t="s">
        <v>336</v>
      </c>
    </row>
    <row r="35" spans="1:9" s="94" customFormat="1" ht="20.25" customHeight="1">
      <c r="A35" s="93"/>
      <c r="B35" s="94" t="s">
        <v>831</v>
      </c>
    </row>
  </sheetData>
  <mergeCells count="2">
    <mergeCell ref="A2:I2"/>
    <mergeCell ref="A3:I3"/>
  </mergeCells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00B0F0"/>
  </sheetPr>
  <dimension ref="A1:I31"/>
  <sheetViews>
    <sheetView topLeftCell="A10" workbookViewId="0"/>
  </sheetViews>
  <sheetFormatPr defaultRowHeight="15"/>
  <cols>
    <col min="1" max="1" width="4.7109375" style="93" customWidth="1"/>
    <col min="2" max="2" width="32.85546875" style="93" customWidth="1"/>
    <col min="3" max="3" width="7.7109375" style="93" customWidth="1"/>
    <col min="4" max="4" width="12.7109375" style="93" customWidth="1"/>
    <col min="5" max="5" width="11.42578125" style="93" customWidth="1"/>
    <col min="6" max="6" width="19" style="93" customWidth="1"/>
    <col min="7" max="7" width="14.5703125" style="93" customWidth="1"/>
    <col min="8" max="8" width="12.85546875" style="93" customWidth="1"/>
    <col min="9" max="9" width="15" style="93" customWidth="1"/>
    <col min="10" max="12" width="0" style="93" hidden="1" customWidth="1"/>
    <col min="13" max="16384" width="9.140625" style="93"/>
  </cols>
  <sheetData>
    <row r="1" spans="1:9" s="272" customFormat="1" ht="11.25">
      <c r="A1" s="378"/>
      <c r="B1" s="378"/>
      <c r="C1" s="378"/>
      <c r="D1" s="378"/>
      <c r="E1" s="378"/>
      <c r="F1" s="378"/>
      <c r="G1" s="378"/>
      <c r="H1" s="378"/>
      <c r="I1" s="378"/>
    </row>
    <row r="2" spans="1:9" s="319" customFormat="1" ht="15.75">
      <c r="A2" s="539" t="s">
        <v>837</v>
      </c>
      <c r="B2" s="539"/>
      <c r="C2" s="539"/>
      <c r="D2" s="539"/>
      <c r="E2" s="539"/>
      <c r="F2" s="539"/>
      <c r="G2" s="539"/>
      <c r="H2" s="539"/>
      <c r="I2" s="539"/>
    </row>
    <row r="3" spans="1:9" s="362" customFormat="1" ht="18.75">
      <c r="A3" s="540" t="s">
        <v>350</v>
      </c>
      <c r="B3" s="540"/>
      <c r="C3" s="540"/>
      <c r="D3" s="540"/>
      <c r="E3" s="540"/>
      <c r="F3" s="540"/>
      <c r="G3" s="540"/>
      <c r="H3" s="540"/>
      <c r="I3" s="540"/>
    </row>
    <row r="4" spans="1:9" s="272" customFormat="1" ht="11.25">
      <c r="A4" s="378"/>
      <c r="B4" s="378"/>
      <c r="C4" s="378"/>
      <c r="D4" s="378"/>
      <c r="E4" s="378"/>
      <c r="F4" s="378"/>
      <c r="G4" s="378"/>
      <c r="H4" s="378"/>
      <c r="I4" s="378"/>
    </row>
    <row r="5" spans="1:9" ht="33.75" customHeight="1">
      <c r="A5" s="542" t="s">
        <v>116</v>
      </c>
      <c r="B5" s="541" t="s">
        <v>838</v>
      </c>
      <c r="C5" s="541" t="s">
        <v>839</v>
      </c>
      <c r="D5" s="541"/>
      <c r="E5" s="541" t="s">
        <v>803</v>
      </c>
      <c r="F5" s="541" t="s">
        <v>804</v>
      </c>
      <c r="G5" s="541" t="s">
        <v>805</v>
      </c>
      <c r="H5" s="541" t="s">
        <v>808</v>
      </c>
      <c r="I5" s="541" t="s">
        <v>809</v>
      </c>
    </row>
    <row r="6" spans="1:9" ht="33.75" customHeight="1">
      <c r="A6" s="542"/>
      <c r="B6" s="541"/>
      <c r="C6" s="364" t="s">
        <v>116</v>
      </c>
      <c r="D6" s="364" t="s">
        <v>840</v>
      </c>
      <c r="E6" s="541"/>
      <c r="F6" s="541"/>
      <c r="G6" s="541"/>
      <c r="H6" s="541"/>
      <c r="I6" s="541"/>
    </row>
    <row r="7" spans="1:9">
      <c r="A7" s="363">
        <v>1</v>
      </c>
      <c r="B7" s="370" t="s">
        <v>841</v>
      </c>
      <c r="C7" s="379">
        <v>12</v>
      </c>
      <c r="D7" s="380">
        <v>43524</v>
      </c>
      <c r="E7" s="363" t="s">
        <v>810</v>
      </c>
      <c r="F7" s="363" t="s">
        <v>835</v>
      </c>
      <c r="G7" s="363" t="s">
        <v>813</v>
      </c>
      <c r="H7" s="371">
        <v>44334</v>
      </c>
      <c r="I7" s="371">
        <v>340829994</v>
      </c>
    </row>
    <row r="8" spans="1:9" ht="30">
      <c r="A8" s="363">
        <f>A7+1</f>
        <v>2</v>
      </c>
      <c r="B8" s="370" t="s">
        <v>841</v>
      </c>
      <c r="C8" s="379">
        <v>12</v>
      </c>
      <c r="D8" s="380">
        <v>43524</v>
      </c>
      <c r="E8" s="363" t="s">
        <v>810</v>
      </c>
      <c r="F8" s="363" t="s">
        <v>842</v>
      </c>
      <c r="G8" s="363" t="s">
        <v>811</v>
      </c>
      <c r="H8" s="371">
        <v>178</v>
      </c>
      <c r="I8" s="371">
        <v>1025430</v>
      </c>
    </row>
    <row r="9" spans="1:9">
      <c r="A9" s="363">
        <f t="shared" ref="A9:A26" si="0">A8+1</f>
        <v>3</v>
      </c>
      <c r="B9" s="370" t="s">
        <v>841</v>
      </c>
      <c r="C9" s="379">
        <v>13</v>
      </c>
      <c r="D9" s="380">
        <v>43531</v>
      </c>
      <c r="E9" s="363" t="s">
        <v>810</v>
      </c>
      <c r="F9" s="363" t="s">
        <v>835</v>
      </c>
      <c r="G9" s="363" t="s">
        <v>825</v>
      </c>
      <c r="H9" s="371">
        <v>20516</v>
      </c>
      <c r="I9" s="371">
        <v>195608756</v>
      </c>
    </row>
    <row r="10" spans="1:9" ht="30">
      <c r="A10" s="363">
        <f t="shared" si="0"/>
        <v>4</v>
      </c>
      <c r="B10" s="370" t="s">
        <v>841</v>
      </c>
      <c r="C10" s="379">
        <v>13</v>
      </c>
      <c r="D10" s="380">
        <v>43531</v>
      </c>
      <c r="E10" s="363" t="s">
        <v>810</v>
      </c>
      <c r="F10" s="363" t="s">
        <v>842</v>
      </c>
      <c r="G10" s="363" t="s">
        <v>811</v>
      </c>
      <c r="H10" s="371">
        <v>55347</v>
      </c>
      <c r="I10" s="371">
        <v>318845322</v>
      </c>
    </row>
    <row r="11" spans="1:9">
      <c r="A11" s="363">
        <f t="shared" si="0"/>
        <v>5</v>
      </c>
      <c r="B11" s="370" t="s">
        <v>841</v>
      </c>
      <c r="C11" s="379">
        <v>13</v>
      </c>
      <c r="D11" s="380">
        <v>43531</v>
      </c>
      <c r="E11" s="363" t="s">
        <v>810</v>
      </c>
      <c r="F11" s="363" t="s">
        <v>835</v>
      </c>
      <c r="G11" s="363" t="s">
        <v>813</v>
      </c>
      <c r="H11" s="371">
        <v>42128</v>
      </c>
      <c r="I11" s="371">
        <v>323870754</v>
      </c>
    </row>
    <row r="12" spans="1:9">
      <c r="A12" s="363">
        <f t="shared" si="0"/>
        <v>6</v>
      </c>
      <c r="B12" s="370" t="s">
        <v>841</v>
      </c>
      <c r="C12" s="379">
        <v>13</v>
      </c>
      <c r="D12" s="380">
        <v>43531</v>
      </c>
      <c r="E12" s="363" t="s">
        <v>810</v>
      </c>
      <c r="F12" s="363" t="s">
        <v>835</v>
      </c>
      <c r="G12" s="363" t="s">
        <v>811</v>
      </c>
      <c r="H12" s="371">
        <v>46262</v>
      </c>
      <c r="I12" s="371">
        <v>270221385</v>
      </c>
    </row>
    <row r="13" spans="1:9">
      <c r="A13" s="363">
        <f t="shared" si="0"/>
        <v>7</v>
      </c>
      <c r="B13" s="370" t="s">
        <v>841</v>
      </c>
      <c r="C13" s="379">
        <v>14</v>
      </c>
      <c r="D13" s="380">
        <v>43562</v>
      </c>
      <c r="E13" s="363" t="s">
        <v>810</v>
      </c>
      <c r="F13" s="363" t="s">
        <v>821</v>
      </c>
      <c r="G13" s="363" t="s">
        <v>813</v>
      </c>
      <c r="H13" s="371">
        <v>17135</v>
      </c>
      <c r="I13" s="371">
        <v>133677829</v>
      </c>
    </row>
    <row r="14" spans="1:9">
      <c r="A14" s="363">
        <f t="shared" si="0"/>
        <v>8</v>
      </c>
      <c r="B14" s="370" t="s">
        <v>841</v>
      </c>
      <c r="C14" s="379">
        <v>15</v>
      </c>
      <c r="D14" s="380">
        <v>43586</v>
      </c>
      <c r="E14" s="363" t="s">
        <v>810</v>
      </c>
      <c r="F14" s="363" t="s">
        <v>821</v>
      </c>
      <c r="G14" s="363" t="s">
        <v>811</v>
      </c>
      <c r="H14" s="371">
        <v>3927</v>
      </c>
      <c r="I14" s="371">
        <v>23231889</v>
      </c>
    </row>
    <row r="15" spans="1:9">
      <c r="A15" s="363">
        <f t="shared" si="0"/>
        <v>9</v>
      </c>
      <c r="B15" s="370" t="s">
        <v>841</v>
      </c>
      <c r="C15" s="379">
        <v>15</v>
      </c>
      <c r="D15" s="380">
        <v>43586</v>
      </c>
      <c r="E15" s="363" t="s">
        <v>810</v>
      </c>
      <c r="F15" s="363" t="s">
        <v>821</v>
      </c>
      <c r="G15" s="363" t="s">
        <v>813</v>
      </c>
      <c r="H15" s="371">
        <v>6072</v>
      </c>
      <c r="I15" s="371">
        <v>47370398</v>
      </c>
    </row>
    <row r="16" spans="1:9">
      <c r="A16" s="363">
        <f t="shared" si="0"/>
        <v>10</v>
      </c>
      <c r="B16" s="370" t="s">
        <v>841</v>
      </c>
      <c r="C16" s="379">
        <v>15</v>
      </c>
      <c r="D16" s="380">
        <v>43586</v>
      </c>
      <c r="E16" s="363" t="s">
        <v>810</v>
      </c>
      <c r="F16" s="363" t="s">
        <v>821</v>
      </c>
      <c r="G16" s="363" t="s">
        <v>825</v>
      </c>
      <c r="H16" s="371">
        <v>2653</v>
      </c>
      <c r="I16" s="371">
        <v>21465861</v>
      </c>
    </row>
    <row r="17" spans="1:9">
      <c r="A17" s="363">
        <f t="shared" si="0"/>
        <v>11</v>
      </c>
      <c r="B17" s="370" t="s">
        <v>841</v>
      </c>
      <c r="C17" s="379">
        <v>15</v>
      </c>
      <c r="D17" s="380">
        <v>43586</v>
      </c>
      <c r="E17" s="363" t="s">
        <v>810</v>
      </c>
      <c r="F17" s="363" t="s">
        <v>821</v>
      </c>
      <c r="G17" s="363" t="s">
        <v>825</v>
      </c>
      <c r="H17" s="371">
        <v>4595</v>
      </c>
      <c r="I17" s="371">
        <v>38141510</v>
      </c>
    </row>
    <row r="18" spans="1:9">
      <c r="A18" s="363">
        <f t="shared" si="0"/>
        <v>12</v>
      </c>
      <c r="B18" s="370" t="s">
        <v>841</v>
      </c>
      <c r="C18" s="379">
        <v>15</v>
      </c>
      <c r="D18" s="380">
        <v>43586</v>
      </c>
      <c r="E18" s="363" t="s">
        <v>810</v>
      </c>
      <c r="F18" s="363" t="s">
        <v>835</v>
      </c>
      <c r="G18" s="363" t="s">
        <v>843</v>
      </c>
      <c r="H18" s="371">
        <v>2201</v>
      </c>
      <c r="I18" s="371">
        <v>20985322</v>
      </c>
    </row>
    <row r="19" spans="1:9">
      <c r="A19" s="363">
        <f t="shared" si="0"/>
        <v>13</v>
      </c>
      <c r="B19" s="370" t="s">
        <v>841</v>
      </c>
      <c r="C19" s="379">
        <v>15</v>
      </c>
      <c r="D19" s="380">
        <v>43586</v>
      </c>
      <c r="E19" s="363" t="s">
        <v>810</v>
      </c>
      <c r="F19" s="363" t="s">
        <v>835</v>
      </c>
      <c r="G19" s="363" t="s">
        <v>813</v>
      </c>
      <c r="H19" s="371">
        <v>62511</v>
      </c>
      <c r="I19" s="371">
        <v>480570753</v>
      </c>
    </row>
    <row r="20" spans="1:9">
      <c r="A20" s="363">
        <f t="shared" si="0"/>
        <v>14</v>
      </c>
      <c r="B20" s="370" t="s">
        <v>841</v>
      </c>
      <c r="C20" s="379">
        <v>15</v>
      </c>
      <c r="D20" s="380">
        <v>43586</v>
      </c>
      <c r="E20" s="363" t="s">
        <v>810</v>
      </c>
      <c r="F20" s="363" t="s">
        <v>835</v>
      </c>
      <c r="G20" s="363" t="s">
        <v>811</v>
      </c>
      <c r="H20" s="371">
        <v>136561</v>
      </c>
      <c r="I20" s="371">
        <v>797667686</v>
      </c>
    </row>
    <row r="21" spans="1:9">
      <c r="A21" s="363">
        <f t="shared" si="0"/>
        <v>15</v>
      </c>
      <c r="B21" s="370" t="s">
        <v>841</v>
      </c>
      <c r="C21" s="379">
        <v>16</v>
      </c>
      <c r="D21" s="380">
        <v>43616</v>
      </c>
      <c r="E21" s="363" t="s">
        <v>810</v>
      </c>
      <c r="F21" s="363" t="s">
        <v>821</v>
      </c>
      <c r="G21" s="363" t="s">
        <v>813</v>
      </c>
      <c r="H21" s="371">
        <v>15433</v>
      </c>
      <c r="I21" s="371">
        <v>120399762</v>
      </c>
    </row>
    <row r="22" spans="1:9">
      <c r="A22" s="363">
        <f t="shared" si="0"/>
        <v>16</v>
      </c>
      <c r="B22" s="370" t="s">
        <v>841</v>
      </c>
      <c r="C22" s="379">
        <v>16</v>
      </c>
      <c r="D22" s="380">
        <v>43616</v>
      </c>
      <c r="E22" s="363" t="s">
        <v>810</v>
      </c>
      <c r="F22" s="363" t="s">
        <v>821</v>
      </c>
      <c r="G22" s="363" t="s">
        <v>811</v>
      </c>
      <c r="H22" s="371">
        <v>254</v>
      </c>
      <c r="I22" s="371">
        <v>1502648</v>
      </c>
    </row>
    <row r="23" spans="1:9">
      <c r="A23" s="363">
        <f t="shared" si="0"/>
        <v>17</v>
      </c>
      <c r="B23" s="370" t="s">
        <v>841</v>
      </c>
      <c r="C23" s="379">
        <v>16</v>
      </c>
      <c r="D23" s="380">
        <v>43616</v>
      </c>
      <c r="E23" s="363" t="s">
        <v>810</v>
      </c>
      <c r="F23" s="363" t="s">
        <v>833</v>
      </c>
      <c r="G23" s="363" t="s">
        <v>811</v>
      </c>
      <c r="H23" s="371">
        <v>46181</v>
      </c>
      <c r="I23" s="371">
        <v>228988766</v>
      </c>
    </row>
    <row r="24" spans="1:9">
      <c r="A24" s="363">
        <f t="shared" si="0"/>
        <v>18</v>
      </c>
      <c r="B24" s="370" t="s">
        <v>841</v>
      </c>
      <c r="C24" s="379">
        <v>16</v>
      </c>
      <c r="D24" s="380">
        <v>43616</v>
      </c>
      <c r="E24" s="363" t="s">
        <v>810</v>
      </c>
      <c r="F24" s="363" t="s">
        <v>835</v>
      </c>
      <c r="G24" s="363" t="s">
        <v>813</v>
      </c>
      <c r="H24" s="371">
        <v>17488</v>
      </c>
      <c r="I24" s="371">
        <v>134443879</v>
      </c>
    </row>
    <row r="25" spans="1:9">
      <c r="A25" s="363">
        <f t="shared" si="0"/>
        <v>19</v>
      </c>
      <c r="B25" s="370" t="s">
        <v>841</v>
      </c>
      <c r="C25" s="379">
        <v>16</v>
      </c>
      <c r="D25" s="380">
        <v>43616</v>
      </c>
      <c r="E25" s="363" t="s">
        <v>810</v>
      </c>
      <c r="F25" s="363" t="s">
        <v>835</v>
      </c>
      <c r="G25" s="363" t="s">
        <v>811</v>
      </c>
      <c r="H25" s="371">
        <v>80745</v>
      </c>
      <c r="I25" s="371">
        <v>471640346</v>
      </c>
    </row>
    <row r="26" spans="1:9" ht="30">
      <c r="A26" s="363">
        <f t="shared" si="0"/>
        <v>20</v>
      </c>
      <c r="B26" s="370" t="s">
        <v>844</v>
      </c>
      <c r="C26" s="379">
        <v>5</v>
      </c>
      <c r="D26" s="380">
        <v>43550</v>
      </c>
      <c r="E26" s="363" t="s">
        <v>810</v>
      </c>
      <c r="F26" s="363" t="s">
        <v>845</v>
      </c>
      <c r="G26" s="363" t="s">
        <v>811</v>
      </c>
      <c r="H26" s="371">
        <v>21065</v>
      </c>
      <c r="I26" s="371">
        <v>86730061</v>
      </c>
    </row>
    <row r="27" spans="1:9">
      <c r="A27" s="363"/>
      <c r="B27" s="372" t="s">
        <v>818</v>
      </c>
      <c r="C27" s="372"/>
      <c r="D27" s="372"/>
      <c r="E27" s="364" t="s">
        <v>815</v>
      </c>
      <c r="F27" s="364" t="s">
        <v>815</v>
      </c>
      <c r="G27" s="364" t="s">
        <v>815</v>
      </c>
      <c r="H27" s="373">
        <f>SUM(H7:H26)</f>
        <v>625586</v>
      </c>
      <c r="I27" s="373">
        <f>SUM(I7:I26)</f>
        <v>4057218351</v>
      </c>
    </row>
    <row r="29" spans="1:9" s="94" customFormat="1">
      <c r="A29" s="93"/>
      <c r="B29" s="94" t="s">
        <v>366</v>
      </c>
      <c r="H29" s="374"/>
      <c r="I29" s="374"/>
    </row>
    <row r="30" spans="1:9" s="94" customFormat="1" ht="20.25" customHeight="1">
      <c r="A30" s="93"/>
      <c r="B30" s="94" t="s">
        <v>336</v>
      </c>
    </row>
    <row r="31" spans="1:9" s="94" customFormat="1" ht="20.25" customHeight="1">
      <c r="A31" s="93"/>
      <c r="B31" s="94" t="s">
        <v>831</v>
      </c>
    </row>
  </sheetData>
  <mergeCells count="10">
    <mergeCell ref="H5:H6"/>
    <mergeCell ref="I5:I6"/>
    <mergeCell ref="A2:I2"/>
    <mergeCell ref="A3:I3"/>
    <mergeCell ref="A5:A6"/>
    <mergeCell ref="B5:B6"/>
    <mergeCell ref="C5:D5"/>
    <mergeCell ref="E5:E6"/>
    <mergeCell ref="F5:F6"/>
    <mergeCell ref="G5:G6"/>
  </mergeCells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AN33"/>
  <sheetViews>
    <sheetView zoomScaleNormal="130" workbookViewId="0">
      <selection activeCell="E30" sqref="E30"/>
    </sheetView>
  </sheetViews>
  <sheetFormatPr defaultRowHeight="12.75"/>
  <cols>
    <col min="1" max="1" width="47.42578125" style="96" customWidth="1"/>
    <col min="2" max="2" width="4.5703125" style="96" customWidth="1"/>
    <col min="3" max="3" width="9.42578125" style="96" customWidth="1"/>
    <col min="4" max="4" width="9.85546875" style="96" bestFit="1" customWidth="1"/>
    <col min="5" max="6" width="10.42578125" style="97" customWidth="1"/>
    <col min="7" max="7" width="4.5703125" style="96" customWidth="1"/>
    <col min="8" max="8" width="8.140625" style="96" customWidth="1"/>
    <col min="9" max="9" width="8.28515625" style="96" customWidth="1"/>
    <col min="10" max="10" width="7.42578125" style="96" customWidth="1"/>
    <col min="11" max="11" width="6.28515625" style="96" customWidth="1"/>
    <col min="12" max="12" width="4.5703125" style="96" customWidth="1"/>
    <col min="13" max="13" width="7" style="96" customWidth="1"/>
    <col min="14" max="14" width="6" style="96" customWidth="1"/>
    <col min="15" max="15" width="7.28515625" style="96" customWidth="1"/>
    <col min="16" max="16" width="6.85546875" style="96" customWidth="1"/>
    <col min="17" max="17" width="5.7109375" style="96" customWidth="1"/>
    <col min="18" max="18" width="9.7109375" style="96" customWidth="1"/>
    <col min="19" max="19" width="9.140625" style="96"/>
    <col min="20" max="20" width="10" style="96" customWidth="1"/>
    <col min="21" max="21" width="8.42578125" style="96" customWidth="1"/>
    <col min="22" max="22" width="4.5703125" style="96" customWidth="1"/>
    <col min="23" max="23" width="6.5703125" style="96" customWidth="1"/>
    <col min="24" max="24" width="6" style="96" customWidth="1"/>
    <col min="25" max="25" width="5.85546875" style="96" customWidth="1"/>
    <col min="26" max="26" width="4.28515625" style="96" customWidth="1"/>
    <col min="27" max="27" width="4.5703125" style="96" customWidth="1"/>
    <col min="28" max="28" width="9.7109375" style="96" customWidth="1"/>
    <col min="29" max="29" width="8.140625" style="96" customWidth="1"/>
    <col min="30" max="30" width="10.5703125" style="96" customWidth="1"/>
    <col min="31" max="31" width="7.7109375" style="96" customWidth="1"/>
    <col min="32" max="32" width="4.5703125" style="96" customWidth="1"/>
    <col min="33" max="33" width="9.28515625" style="96" customWidth="1"/>
    <col min="34" max="34" width="10.42578125" style="96" customWidth="1"/>
    <col min="35" max="35" width="7.85546875" style="96" customWidth="1"/>
    <col min="36" max="36" width="6" style="96" customWidth="1"/>
    <col min="37" max="37" width="4.5703125" style="96" customWidth="1"/>
    <col min="38" max="38" width="7.5703125" style="96" customWidth="1"/>
    <col min="39" max="39" width="6.85546875" style="96" customWidth="1"/>
    <col min="40" max="40" width="5.85546875" style="96" customWidth="1"/>
    <col min="41" max="41" width="6.7109375" style="96" customWidth="1"/>
    <col min="42" max="16384" width="9.140625" style="96"/>
  </cols>
  <sheetData>
    <row r="2" spans="1:6" ht="37.5" customHeight="1">
      <c r="A2" s="544" t="s">
        <v>869</v>
      </c>
      <c r="B2" s="544"/>
      <c r="C2" s="544"/>
      <c r="D2" s="544"/>
      <c r="E2" s="544"/>
      <c r="F2" s="544"/>
    </row>
    <row r="3" spans="1:6">
      <c r="A3" s="107"/>
      <c r="C3" s="97"/>
      <c r="D3" s="97"/>
      <c r="E3" s="98" t="s">
        <v>401</v>
      </c>
    </row>
    <row r="4" spans="1:6" s="108" customFormat="1" ht="44.25" customHeight="1">
      <c r="A4" s="546" t="s">
        <v>75</v>
      </c>
      <c r="B4" s="546" t="s">
        <v>115</v>
      </c>
      <c r="C4" s="546" t="s">
        <v>147</v>
      </c>
      <c r="D4" s="546" t="s">
        <v>453</v>
      </c>
      <c r="E4" s="545" t="s">
        <v>870</v>
      </c>
      <c r="F4" s="545"/>
    </row>
    <row r="5" spans="1:6" s="99" customFormat="1" ht="22.5" customHeight="1">
      <c r="A5" s="546"/>
      <c r="B5" s="546"/>
      <c r="C5" s="546"/>
      <c r="D5" s="546"/>
      <c r="E5" s="102" t="s">
        <v>55</v>
      </c>
      <c r="F5" s="106" t="s">
        <v>491</v>
      </c>
    </row>
    <row r="6" spans="1:6" s="99" customFormat="1" ht="16.5" customHeight="1">
      <c r="A6" s="109" t="s">
        <v>198</v>
      </c>
      <c r="B6" s="110">
        <v>280</v>
      </c>
      <c r="C6" s="110" t="e">
        <f>'Мол нат'!#REF!</f>
        <v>#REF!</v>
      </c>
      <c r="D6" s="110" t="e">
        <f>'Мол нат'!#REF!</f>
        <v>#REF!</v>
      </c>
      <c r="E6" s="110" t="e">
        <f>-#REF!+F6+#REF!</f>
        <v>#REF!</v>
      </c>
      <c r="F6" s="110" t="e">
        <f>+#REF!+#REF!</f>
        <v>#REF!</v>
      </c>
    </row>
    <row r="7" spans="1:6" s="99" customFormat="1" ht="16.5" customHeight="1">
      <c r="A7" s="109" t="s">
        <v>140</v>
      </c>
      <c r="B7" s="110">
        <v>290</v>
      </c>
      <c r="C7" s="110" t="e">
        <f>'Мол нат'!#REF!</f>
        <v>#REF!</v>
      </c>
      <c r="D7" s="110" t="e">
        <f>'Мол нат'!#REF!</f>
        <v>#REF!</v>
      </c>
      <c r="E7" s="110" t="e">
        <f>+#REF!+F7-#REF!+E8</f>
        <v>#REF!</v>
      </c>
      <c r="F7" s="110"/>
    </row>
    <row r="8" spans="1:6" s="99" customFormat="1" ht="16.5" customHeight="1">
      <c r="A8" s="109" t="s">
        <v>199</v>
      </c>
      <c r="B8" s="110">
        <v>291</v>
      </c>
      <c r="C8" s="110" t="e">
        <f>'Мол нат'!#REF!</f>
        <v>#REF!</v>
      </c>
      <c r="D8" s="110" t="e">
        <f>'Мол нат'!#REF!</f>
        <v>#REF!</v>
      </c>
      <c r="E8" s="110" t="e">
        <f>F8+#REF!-#REF!</f>
        <v>#REF!</v>
      </c>
      <c r="F8" s="110"/>
    </row>
    <row r="9" spans="1:6" s="99" customFormat="1" ht="16.5" customHeight="1">
      <c r="A9" s="109" t="s">
        <v>200</v>
      </c>
      <c r="B9" s="110"/>
      <c r="C9" s="110"/>
      <c r="D9" s="110"/>
      <c r="E9" s="110"/>
      <c r="F9" s="110"/>
    </row>
    <row r="10" spans="1:6" s="99" customFormat="1" ht="16.5" customHeight="1">
      <c r="A10" s="109" t="s">
        <v>254</v>
      </c>
      <c r="B10" s="110">
        <v>300</v>
      </c>
      <c r="C10" s="110" t="e">
        <f>'Мол нат'!#REF!</f>
        <v>#REF!</v>
      </c>
      <c r="D10" s="110" t="e">
        <f>'Мол нат'!#REF!</f>
        <v>#REF!</v>
      </c>
      <c r="E10" s="110" t="e">
        <f>#REF!+#REF!-#REF!</f>
        <v>#REF!</v>
      </c>
      <c r="F10" s="110" t="e">
        <f>+#REF!+#REF!</f>
        <v>#REF!</v>
      </c>
    </row>
    <row r="11" spans="1:6" s="99" customFormat="1" ht="16.5" customHeight="1">
      <c r="A11" s="109" t="s">
        <v>66</v>
      </c>
      <c r="B11" s="110">
        <v>310</v>
      </c>
      <c r="C11" s="110" t="e">
        <f>'Мол нат'!#REF!</f>
        <v>#REF!</v>
      </c>
      <c r="D11" s="110" t="e">
        <f>'Мол нат'!#REF!</f>
        <v>#REF!</v>
      </c>
      <c r="E11" s="112" t="e">
        <f>F11+#REF!-#REF!</f>
        <v>#REF!</v>
      </c>
      <c r="F11" s="110" t="e">
        <f>+#REF!+#REF!</f>
        <v>#REF!</v>
      </c>
    </row>
    <row r="12" spans="1:6" s="99" customFormat="1" ht="16.5" customHeight="1">
      <c r="A12" s="109" t="s">
        <v>151</v>
      </c>
      <c r="B12" s="110">
        <v>320</v>
      </c>
      <c r="C12" s="110" t="e">
        <f>'Мол нат'!#REF!</f>
        <v>#REF!</v>
      </c>
      <c r="D12" s="110" t="e">
        <f>'Мол нат'!#REF!</f>
        <v>#REF!</v>
      </c>
      <c r="E12" s="110"/>
      <c r="F12" s="110"/>
    </row>
    <row r="13" spans="1:6" s="99" customFormat="1" ht="16.5" customHeight="1">
      <c r="A13" s="109" t="s">
        <v>184</v>
      </c>
      <c r="B13" s="110">
        <v>330</v>
      </c>
      <c r="C13" s="110" t="e">
        <f>'Мол нат'!#REF!</f>
        <v>#REF!</v>
      </c>
      <c r="D13" s="110" t="e">
        <f>'Мол нат'!#REF!</f>
        <v>#REF!</v>
      </c>
      <c r="E13" s="110"/>
      <c r="F13" s="110"/>
    </row>
    <row r="14" spans="1:6" s="99" customFormat="1" ht="16.5" customHeight="1">
      <c r="A14" s="109" t="s">
        <v>370</v>
      </c>
      <c r="B14" s="110">
        <v>340</v>
      </c>
      <c r="C14" s="110" t="e">
        <f>'Мол нат'!#REF!</f>
        <v>#REF!</v>
      </c>
      <c r="D14" s="110" t="e">
        <f>'Мол нат'!#REF!</f>
        <v>#REF!</v>
      </c>
      <c r="E14" s="110" t="e">
        <f>F14+#REF!-#REF!</f>
        <v>#REF!</v>
      </c>
      <c r="F14" s="110" t="e">
        <f>#REF!+#REF!</f>
        <v>#REF!</v>
      </c>
    </row>
    <row r="15" spans="1:6" s="99" customFormat="1" ht="16.5" customHeight="1">
      <c r="A15" s="109" t="s">
        <v>157</v>
      </c>
      <c r="B15" s="110">
        <v>350</v>
      </c>
      <c r="C15" s="110" t="e">
        <f>'Мол нат'!#REF!</f>
        <v>#REF!</v>
      </c>
      <c r="D15" s="110" t="e">
        <f>'Мол нат'!#REF!</f>
        <v>#REF!</v>
      </c>
      <c r="E15" s="110" t="e">
        <f>+F15+#REF!-#REF!</f>
        <v>#REF!</v>
      </c>
      <c r="F15" s="110" t="e">
        <f>+#REF!+#REF!</f>
        <v>#REF!</v>
      </c>
    </row>
    <row r="16" spans="1:6" s="99" customFormat="1" ht="16.5" customHeight="1">
      <c r="A16" s="109" t="s">
        <v>158</v>
      </c>
      <c r="B16" s="110">
        <v>360</v>
      </c>
      <c r="C16" s="110" t="e">
        <f>'Мол нат'!#REF!</f>
        <v>#REF!</v>
      </c>
      <c r="D16" s="110" t="e">
        <f>'Мол нат'!#REF!</f>
        <v>#REF!</v>
      </c>
      <c r="E16" s="110" t="e">
        <f>F16+#REF!-#REF!</f>
        <v>#REF!</v>
      </c>
      <c r="F16" s="110" t="e">
        <f>#REF!+#REF!</f>
        <v>#REF!</v>
      </c>
    </row>
    <row r="17" spans="1:30" s="99" customFormat="1" ht="16.5" customHeight="1">
      <c r="A17" s="109" t="s">
        <v>159</v>
      </c>
      <c r="B17" s="110">
        <v>370</v>
      </c>
      <c r="C17" s="110" t="e">
        <f>'Мол нат'!#REF!</f>
        <v>#REF!</v>
      </c>
      <c r="D17" s="110" t="e">
        <f>'Мол нат'!#REF!</f>
        <v>#REF!</v>
      </c>
      <c r="E17" s="110"/>
      <c r="F17" s="110"/>
    </row>
    <row r="18" spans="1:30" s="99" customFormat="1" ht="16.5" customHeight="1">
      <c r="A18" s="109" t="s">
        <v>16</v>
      </c>
      <c r="B18" s="110">
        <v>380</v>
      </c>
      <c r="C18" s="110" t="e">
        <f>'Мол нат'!#REF!</f>
        <v>#REF!</v>
      </c>
      <c r="D18" s="110" t="e">
        <f>'Мол нат'!#REF!</f>
        <v>#REF!</v>
      </c>
      <c r="E18" s="110"/>
      <c r="F18" s="110"/>
    </row>
    <row r="19" spans="1:30" s="99" customFormat="1" ht="16.5" customHeight="1">
      <c r="A19" s="109" t="s">
        <v>160</v>
      </c>
      <c r="B19" s="110">
        <v>390</v>
      </c>
      <c r="C19" s="110" t="e">
        <f>'Мол нат'!#REF!</f>
        <v>#REF!</v>
      </c>
      <c r="D19" s="110" t="e">
        <f>'Мол нат'!#REF!</f>
        <v>#REF!</v>
      </c>
      <c r="E19" s="110"/>
      <c r="F19" s="110"/>
    </row>
    <row r="20" spans="1:30" s="99" customFormat="1" ht="16.5" customHeight="1">
      <c r="A20" s="109" t="s">
        <v>353</v>
      </c>
      <c r="B20" s="110">
        <v>400</v>
      </c>
      <c r="C20" s="110" t="e">
        <f>'Мол нат'!#REF!</f>
        <v>#REF!</v>
      </c>
      <c r="D20" s="110" t="e">
        <f>'Мол нат'!#REF!</f>
        <v>#REF!</v>
      </c>
      <c r="E20" s="110" t="e">
        <f>+F20-#REF!-#REF!-#REF!+#REF!+#REF!+#REF!-#REF!+#REF!+#REF!+#REF!+#REF!+#REF!</f>
        <v>#REF!</v>
      </c>
      <c r="F20" s="110" t="e">
        <f>#REF!+#REF!+#REF!+#REF!+#REF!+#REF!+#REF!+#REF!+#REF!+#REF!+#REF!+#REF!+#REF!+#REF!+#REF!</f>
        <v>#REF!</v>
      </c>
    </row>
    <row r="21" spans="1:30" s="99" customFormat="1" ht="16.5" customHeight="1">
      <c r="A21" s="109" t="s">
        <v>68</v>
      </c>
      <c r="B21" s="110">
        <v>410</v>
      </c>
      <c r="C21" s="110" t="e">
        <f>'Мол нат'!#REF!</f>
        <v>#REF!</v>
      </c>
      <c r="D21" s="110" t="e">
        <f>'Мол нат'!#REF!</f>
        <v>#REF!</v>
      </c>
      <c r="E21" s="110" t="e">
        <f>F21+#REF!</f>
        <v>#REF!</v>
      </c>
      <c r="F21" s="110" t="e">
        <f>#REF!+#REF!</f>
        <v>#REF!</v>
      </c>
    </row>
    <row r="22" spans="1:30" s="99" customFormat="1" ht="16.5" customHeight="1">
      <c r="A22" s="109" t="s">
        <v>365</v>
      </c>
      <c r="B22" s="543">
        <v>420</v>
      </c>
      <c r="C22" s="110" t="e">
        <f>'Мол нат'!#REF!</f>
        <v>#REF!</v>
      </c>
      <c r="D22" s="110" t="e">
        <f>'Мол нат'!#REF!</f>
        <v>#REF!</v>
      </c>
      <c r="E22" s="110" t="e">
        <f>F22+#REF!</f>
        <v>#REF!</v>
      </c>
      <c r="F22" s="110" t="e">
        <f>#REF!+#REF!</f>
        <v>#REF!</v>
      </c>
    </row>
    <row r="23" spans="1:30" s="99" customFormat="1" ht="16.5" customHeight="1">
      <c r="A23" s="109" t="s">
        <v>67</v>
      </c>
      <c r="B23" s="543"/>
      <c r="C23" s="110">
        <v>0</v>
      </c>
      <c r="D23" s="110">
        <v>0</v>
      </c>
      <c r="E23" s="110" t="e">
        <f>F23+#REF!</f>
        <v>#REF!</v>
      </c>
      <c r="F23" s="110" t="e">
        <f>#REF!+#REF!</f>
        <v>#REF!</v>
      </c>
    </row>
    <row r="24" spans="1:30" s="99" customFormat="1" ht="16.5" customHeight="1">
      <c r="A24" s="109" t="s">
        <v>114</v>
      </c>
      <c r="B24" s="110">
        <v>430</v>
      </c>
      <c r="C24" s="110" t="e">
        <f>'Мол нат'!#REF!</f>
        <v>#REF!</v>
      </c>
      <c r="D24" s="110" t="e">
        <f>'Мол нат'!#REF!</f>
        <v>#REF!</v>
      </c>
      <c r="E24" s="110" t="e">
        <f>F24+#REF!-#REF!</f>
        <v>#REF!</v>
      </c>
      <c r="F24" s="110" t="e">
        <f>#REF!+#REF!</f>
        <v>#REF!</v>
      </c>
    </row>
    <row r="25" spans="1:30" s="99" customFormat="1" ht="16.5" customHeight="1">
      <c r="A25" s="109" t="s">
        <v>212</v>
      </c>
      <c r="B25" s="110">
        <v>440</v>
      </c>
      <c r="C25" s="110" t="e">
        <f>'Мол нат'!#REF!</f>
        <v>#REF!</v>
      </c>
      <c r="D25" s="110" t="e">
        <f>'Мол нат'!#REF!</f>
        <v>#REF!</v>
      </c>
      <c r="E25" s="110" t="e">
        <f>F25+#REF!</f>
        <v>#REF!</v>
      </c>
      <c r="F25" s="110" t="e">
        <f>#REF!+#REF!</f>
        <v>#REF!</v>
      </c>
    </row>
    <row r="26" spans="1:30" s="99" customFormat="1" ht="16.5" customHeight="1">
      <c r="A26" s="109" t="s">
        <v>396</v>
      </c>
      <c r="B26" s="109">
        <v>450</v>
      </c>
      <c r="C26" s="113"/>
      <c r="D26" s="113"/>
      <c r="E26" s="113"/>
      <c r="F26" s="113"/>
    </row>
    <row r="27" spans="1:30" s="99" customFormat="1" ht="16.5" customHeight="1">
      <c r="A27" s="109" t="s">
        <v>371</v>
      </c>
      <c r="B27" s="110">
        <v>460</v>
      </c>
      <c r="C27" s="110" t="e">
        <f>'Мол нат'!#REF!</f>
        <v>#REF!</v>
      </c>
      <c r="D27" s="110" t="e">
        <f>'Мол нат'!#REF!</f>
        <v>#REF!</v>
      </c>
      <c r="E27" s="110"/>
      <c r="F27" s="110"/>
    </row>
    <row r="28" spans="1:30" s="99" customFormat="1" ht="16.5" customHeight="1">
      <c r="A28" s="109" t="s">
        <v>253</v>
      </c>
      <c r="B28" s="110">
        <v>470</v>
      </c>
      <c r="C28" s="110" t="e">
        <f>'Мол нат'!#REF!</f>
        <v>#REF!</v>
      </c>
      <c r="D28" s="110" t="e">
        <f>'Мол нат'!#REF!</f>
        <v>#REF!</v>
      </c>
      <c r="E28" s="110"/>
      <c r="F28" s="110"/>
    </row>
    <row r="29" spans="1:30" s="99" customFormat="1" ht="16.5" customHeight="1">
      <c r="A29" s="109" t="s">
        <v>454</v>
      </c>
      <c r="B29" s="110"/>
      <c r="C29" s="110"/>
      <c r="D29" s="110"/>
      <c r="E29" s="110"/>
      <c r="F29" s="110"/>
    </row>
    <row r="30" spans="1:30" s="99" customFormat="1" ht="16.5" customHeight="1">
      <c r="A30" s="109" t="s">
        <v>455</v>
      </c>
      <c r="B30" s="110">
        <v>480</v>
      </c>
      <c r="C30" s="110" t="e">
        <f>SUM(C6:C29)-C8</f>
        <v>#REF!</v>
      </c>
      <c r="D30" s="110" t="e">
        <f>SUM(D6:D29)-D8</f>
        <v>#REF!</v>
      </c>
      <c r="E30" s="110" t="e">
        <f>SUM(E6:E29)-E8</f>
        <v>#REF!</v>
      </c>
      <c r="F30" s="110" t="e">
        <f>SUM(F6:F29)-F8</f>
        <v>#REF!</v>
      </c>
    </row>
    <row r="31" spans="1:30" s="111" customFormat="1" ht="22.5" customHeight="1">
      <c r="C31" s="114" t="e">
        <f>+C30-'Мол нат'!#REF!</f>
        <v>#REF!</v>
      </c>
      <c r="D31" s="114" t="e">
        <f>+D30-'Мол нат'!#REF!</f>
        <v>#REF!</v>
      </c>
      <c r="E31" s="114" t="e">
        <f>('Бух баланс'!#REF!+'Бух баланс'!#REF!+'Бух баланс'!#REF!+'Бух баланс'!#REF!-'Бух баланс'!#REF!-'Бух баланс'!#REF!)-'Мол натга илова'!E30</f>
        <v>#REF!</v>
      </c>
      <c r="F31" s="114" t="e">
        <f>('Бух баланс'!#REF!+'Бух баланс'!#REF!)-'Мол натга илова'!F30</f>
        <v>#REF!</v>
      </c>
    </row>
    <row r="32" spans="1:30" s="101" customFormat="1" ht="22.5" customHeight="1">
      <c r="A32" s="100" t="s">
        <v>344</v>
      </c>
      <c r="C32" s="100"/>
      <c r="E32" s="103"/>
      <c r="F32" s="98"/>
      <c r="Y32" s="104"/>
      <c r="AD32" s="98"/>
    </row>
    <row r="33" spans="1:40" ht="36" customHeight="1">
      <c r="A33" s="100" t="s">
        <v>120</v>
      </c>
      <c r="C33" s="101"/>
      <c r="D33" s="101"/>
      <c r="E33" s="98"/>
      <c r="F33" s="98"/>
      <c r="R33" s="97"/>
      <c r="AN33" s="105"/>
    </row>
  </sheetData>
  <mergeCells count="7">
    <mergeCell ref="B22:B23"/>
    <mergeCell ref="A2:F2"/>
    <mergeCell ref="E4:F4"/>
    <mergeCell ref="B4:B5"/>
    <mergeCell ref="A4:A5"/>
    <mergeCell ref="C4:C5"/>
    <mergeCell ref="D4:D5"/>
  </mergeCells>
  <phoneticPr fontId="6" type="noConversion"/>
  <printOptions horizontalCentered="1"/>
  <pageMargins left="0.91" right="0.23622047244094491" top="0.66" bottom="0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F0"/>
  </sheetPr>
  <dimension ref="A1:F84"/>
  <sheetViews>
    <sheetView tabSelected="1" zoomScaleSheetLayoutView="100" workbookViewId="0">
      <selection activeCell="K17" sqref="K17"/>
    </sheetView>
  </sheetViews>
  <sheetFormatPr defaultRowHeight="12.75"/>
  <cols>
    <col min="1" max="1" width="41.7109375" style="273" customWidth="1"/>
    <col min="2" max="2" width="5.7109375" style="273" customWidth="1"/>
    <col min="3" max="3" width="14.7109375" style="277" customWidth="1"/>
    <col min="4" max="4" width="18.7109375" style="277" customWidth="1"/>
    <col min="5" max="5" width="14" style="277" customWidth="1"/>
    <col min="6" max="6" width="18.5703125" style="277" customWidth="1"/>
    <col min="7" max="7" width="23.42578125" style="273" customWidth="1"/>
    <col min="8" max="8" width="18" style="273" customWidth="1"/>
    <col min="9" max="16384" width="9.140625" style="273"/>
  </cols>
  <sheetData>
    <row r="1" spans="1:6" ht="27" customHeight="1">
      <c r="A1" s="477" t="s">
        <v>516</v>
      </c>
      <c r="B1" s="477"/>
      <c r="C1" s="477"/>
      <c r="D1" s="477"/>
    </row>
    <row r="2" spans="1:6">
      <c r="C2" s="477"/>
      <c r="D2" s="477"/>
      <c r="E2" s="477"/>
      <c r="F2" s="477"/>
    </row>
    <row r="3" spans="1:6" ht="15.75">
      <c r="A3" s="478" t="s">
        <v>517</v>
      </c>
      <c r="B3" s="478"/>
      <c r="C3" s="478"/>
      <c r="D3" s="478"/>
      <c r="E3" s="478"/>
      <c r="F3" s="478"/>
    </row>
    <row r="4" spans="1:6">
      <c r="A4" s="467"/>
      <c r="B4" s="467"/>
      <c r="C4" s="467"/>
      <c r="D4" s="467"/>
      <c r="E4" s="467"/>
      <c r="F4" s="465"/>
    </row>
    <row r="5" spans="1:6">
      <c r="A5" s="467"/>
      <c r="B5" s="466"/>
      <c r="C5" s="466" t="s">
        <v>882</v>
      </c>
      <c r="D5" s="466"/>
      <c r="E5" s="470"/>
      <c r="F5" s="471" t="s">
        <v>518</v>
      </c>
    </row>
    <row r="6" spans="1:6">
      <c r="A6" s="282" t="s">
        <v>519</v>
      </c>
      <c r="B6" s="282"/>
      <c r="C6" s="282"/>
      <c r="D6" s="282"/>
      <c r="E6" s="283"/>
      <c r="F6" s="284"/>
    </row>
    <row r="7" spans="1:6">
      <c r="A7" s="282" t="s">
        <v>520</v>
      </c>
      <c r="B7" s="285" t="s">
        <v>521</v>
      </c>
      <c r="C7" s="285"/>
      <c r="D7" s="285"/>
      <c r="E7" s="286" t="s">
        <v>522</v>
      </c>
      <c r="F7" s="284" t="s">
        <v>523</v>
      </c>
    </row>
    <row r="8" spans="1:6">
      <c r="A8" s="282" t="s">
        <v>524</v>
      </c>
      <c r="B8" s="287" t="s">
        <v>871</v>
      </c>
      <c r="C8" s="287"/>
      <c r="D8" s="287"/>
      <c r="E8" s="288" t="s">
        <v>525</v>
      </c>
      <c r="F8" s="289" t="s">
        <v>526</v>
      </c>
    </row>
    <row r="9" spans="1:6">
      <c r="A9" s="282" t="s">
        <v>527</v>
      </c>
      <c r="B9" s="287"/>
      <c r="C9" s="287"/>
      <c r="D9" s="287"/>
      <c r="E9" s="286" t="s">
        <v>528</v>
      </c>
      <c r="F9" s="289" t="s">
        <v>529</v>
      </c>
    </row>
    <row r="10" spans="1:6">
      <c r="A10" s="282" t="s">
        <v>530</v>
      </c>
      <c r="B10" s="287" t="s">
        <v>531</v>
      </c>
      <c r="C10" s="287"/>
      <c r="D10" s="287"/>
      <c r="E10" s="286" t="s">
        <v>532</v>
      </c>
      <c r="F10" s="289" t="s">
        <v>533</v>
      </c>
    </row>
    <row r="11" spans="1:6">
      <c r="A11" s="282" t="s">
        <v>534</v>
      </c>
      <c r="B11" s="287" t="s">
        <v>535</v>
      </c>
      <c r="C11" s="287"/>
      <c r="D11" s="287"/>
      <c r="E11" s="286" t="s">
        <v>536</v>
      </c>
      <c r="F11" s="289" t="s">
        <v>537</v>
      </c>
    </row>
    <row r="12" spans="1:6">
      <c r="A12" s="282" t="s">
        <v>538</v>
      </c>
      <c r="B12" s="282"/>
      <c r="C12" s="282"/>
      <c r="D12" s="282"/>
      <c r="E12" s="286" t="s">
        <v>466</v>
      </c>
      <c r="F12" s="289" t="s">
        <v>539</v>
      </c>
    </row>
    <row r="13" spans="1:6">
      <c r="A13" s="282" t="s">
        <v>540</v>
      </c>
      <c r="B13" s="285" t="s">
        <v>541</v>
      </c>
      <c r="C13" s="285"/>
      <c r="D13" s="285"/>
      <c r="E13" s="286" t="s">
        <v>542</v>
      </c>
      <c r="F13" s="289" t="s">
        <v>543</v>
      </c>
    </row>
    <row r="14" spans="1:6">
      <c r="A14" s="282" t="s">
        <v>544</v>
      </c>
      <c r="B14" s="287" t="s">
        <v>545</v>
      </c>
      <c r="C14" s="287"/>
      <c r="D14" s="287"/>
      <c r="E14" s="286" t="s">
        <v>546</v>
      </c>
      <c r="F14" s="290"/>
    </row>
    <row r="15" spans="1:6" ht="16.5">
      <c r="A15" s="291" t="s">
        <v>547</v>
      </c>
      <c r="B15" s="291"/>
      <c r="C15" s="291"/>
      <c r="D15" s="291"/>
      <c r="E15" s="288" t="s">
        <v>548</v>
      </c>
      <c r="F15" s="290"/>
    </row>
    <row r="16" spans="1:6">
      <c r="A16" s="282"/>
      <c r="B16" s="282"/>
      <c r="C16" s="282"/>
      <c r="D16" s="282"/>
      <c r="E16" s="288" t="s">
        <v>549</v>
      </c>
      <c r="F16" s="290"/>
    </row>
    <row r="18" spans="1:6">
      <c r="A18" s="479" t="s">
        <v>550</v>
      </c>
      <c r="B18" s="480" t="s">
        <v>551</v>
      </c>
      <c r="C18" s="479" t="s">
        <v>552</v>
      </c>
      <c r="D18" s="479"/>
      <c r="E18" s="479" t="s">
        <v>553</v>
      </c>
      <c r="F18" s="479"/>
    </row>
    <row r="19" spans="1:6" ht="25.5">
      <c r="A19" s="479"/>
      <c r="B19" s="480"/>
      <c r="C19" s="474" t="s">
        <v>554</v>
      </c>
      <c r="D19" s="474" t="s">
        <v>555</v>
      </c>
      <c r="E19" s="474" t="s">
        <v>554</v>
      </c>
      <c r="F19" s="474" t="s">
        <v>555</v>
      </c>
    </row>
    <row r="20" spans="1:6" ht="25.5">
      <c r="A20" s="278" t="s">
        <v>556</v>
      </c>
      <c r="B20" s="279" t="s">
        <v>69</v>
      </c>
      <c r="C20" s="293">
        <v>114696</v>
      </c>
      <c r="D20" s="292"/>
      <c r="E20" s="293">
        <v>176584</v>
      </c>
      <c r="F20" s="292"/>
    </row>
    <row r="21" spans="1:6" ht="25.5">
      <c r="A21" s="278" t="s">
        <v>557</v>
      </c>
      <c r="B21" s="279" t="s">
        <v>143</v>
      </c>
      <c r="C21" s="292"/>
      <c r="D21" s="292">
        <v>0</v>
      </c>
      <c r="E21" s="292"/>
      <c r="F21" s="292">
        <v>150096</v>
      </c>
    </row>
    <row r="22" spans="1:6" ht="25.5">
      <c r="A22" s="278" t="s">
        <v>558</v>
      </c>
      <c r="B22" s="279" t="s">
        <v>58</v>
      </c>
      <c r="C22" s="292">
        <f>C20-D21</f>
        <v>114696</v>
      </c>
      <c r="D22" s="292"/>
      <c r="E22" s="292">
        <v>26488</v>
      </c>
      <c r="F22" s="292"/>
    </row>
    <row r="23" spans="1:6" ht="25.5">
      <c r="A23" s="278" t="s">
        <v>559</v>
      </c>
      <c r="B23" s="279" t="s">
        <v>480</v>
      </c>
      <c r="C23" s="292"/>
      <c r="D23" s="292">
        <v>194861</v>
      </c>
      <c r="E23" s="292"/>
      <c r="F23" s="292">
        <v>155389</v>
      </c>
    </row>
    <row r="24" spans="1:6">
      <c r="A24" s="278" t="s">
        <v>560</v>
      </c>
      <c r="B24" s="279" t="s">
        <v>481</v>
      </c>
      <c r="C24" s="292"/>
      <c r="D24" s="292">
        <v>0</v>
      </c>
      <c r="E24" s="292"/>
      <c r="F24" s="292"/>
    </row>
    <row r="25" spans="1:6">
      <c r="A25" s="278" t="s">
        <v>222</v>
      </c>
      <c r="B25" s="279" t="s">
        <v>482</v>
      </c>
      <c r="C25" s="292"/>
      <c r="D25" s="292">
        <v>171538</v>
      </c>
      <c r="E25" s="292"/>
      <c r="F25" s="292">
        <v>143096</v>
      </c>
    </row>
    <row r="26" spans="1:6">
      <c r="A26" s="278" t="s">
        <v>561</v>
      </c>
      <c r="B26" s="279" t="s">
        <v>483</v>
      </c>
      <c r="C26" s="292"/>
      <c r="D26" s="268">
        <v>23323</v>
      </c>
      <c r="E26" s="292"/>
      <c r="F26" s="268">
        <v>12293</v>
      </c>
    </row>
    <row r="27" spans="1:6" ht="25.5">
      <c r="A27" s="278" t="s">
        <v>562</v>
      </c>
      <c r="B27" s="279" t="s">
        <v>118</v>
      </c>
      <c r="C27" s="292"/>
      <c r="D27" s="292"/>
      <c r="E27" s="292"/>
      <c r="F27" s="292"/>
    </row>
    <row r="28" spans="1:6">
      <c r="A28" s="278" t="s">
        <v>563</v>
      </c>
      <c r="B28" s="279" t="s">
        <v>348</v>
      </c>
      <c r="C28" s="292">
        <v>16262</v>
      </c>
      <c r="D28" s="292"/>
      <c r="E28" s="292"/>
      <c r="F28" s="292"/>
    </row>
    <row r="29" spans="1:6" ht="25.5">
      <c r="A29" s="278" t="s">
        <v>564</v>
      </c>
      <c r="B29" s="279" t="s">
        <v>349</v>
      </c>
      <c r="C29" s="292"/>
      <c r="D29" s="292">
        <v>63903</v>
      </c>
      <c r="E29" s="292"/>
      <c r="F29" s="292">
        <v>128901</v>
      </c>
    </row>
    <row r="30" spans="1:6" ht="25.5">
      <c r="A30" s="278" t="s">
        <v>565</v>
      </c>
      <c r="B30" s="279" t="s">
        <v>142</v>
      </c>
      <c r="C30" s="292">
        <v>0</v>
      </c>
      <c r="D30" s="292"/>
      <c r="E30" s="292"/>
      <c r="F30" s="292"/>
    </row>
    <row r="31" spans="1:6">
      <c r="A31" s="278" t="s">
        <v>566</v>
      </c>
      <c r="B31" s="279" t="s">
        <v>117</v>
      </c>
      <c r="C31" s="292"/>
      <c r="D31" s="292"/>
      <c r="E31" s="292"/>
      <c r="F31" s="292"/>
    </row>
    <row r="32" spans="1:6">
      <c r="A32" s="278" t="s">
        <v>388</v>
      </c>
      <c r="B32" s="279" t="s">
        <v>216</v>
      </c>
      <c r="C32" s="292">
        <v>0</v>
      </c>
      <c r="D32" s="292"/>
      <c r="E32" s="292"/>
      <c r="F32" s="292"/>
    </row>
    <row r="33" spans="1:6">
      <c r="A33" s="278" t="s">
        <v>567</v>
      </c>
      <c r="B33" s="279" t="s">
        <v>0</v>
      </c>
      <c r="C33" s="292"/>
      <c r="D33" s="292"/>
      <c r="E33" s="292"/>
      <c r="F33" s="292"/>
    </row>
    <row r="34" spans="1:6">
      <c r="A34" s="278" t="s">
        <v>568</v>
      </c>
      <c r="B34" s="279" t="s">
        <v>1</v>
      </c>
      <c r="C34" s="292"/>
      <c r="D34" s="292"/>
      <c r="E34" s="292"/>
      <c r="F34" s="292"/>
    </row>
    <row r="35" spans="1:6">
      <c r="A35" s="278" t="s">
        <v>569</v>
      </c>
      <c r="B35" s="279" t="s">
        <v>2</v>
      </c>
      <c r="C35" s="292">
        <v>0</v>
      </c>
      <c r="D35" s="292"/>
      <c r="E35" s="292"/>
      <c r="F35" s="292"/>
    </row>
    <row r="36" spans="1:6" ht="25.5">
      <c r="A36" s="278" t="s">
        <v>570</v>
      </c>
      <c r="B36" s="279" t="s">
        <v>3</v>
      </c>
      <c r="C36" s="292"/>
      <c r="D36" s="292">
        <f>D37+D38+D39+D40</f>
        <v>0</v>
      </c>
      <c r="E36" s="292"/>
      <c r="F36" s="292"/>
    </row>
    <row r="37" spans="1:6">
      <c r="A37" s="278" t="s">
        <v>456</v>
      </c>
      <c r="B37" s="279" t="s">
        <v>4</v>
      </c>
      <c r="C37" s="292"/>
      <c r="D37" s="292"/>
      <c r="E37" s="292"/>
      <c r="F37" s="292"/>
    </row>
    <row r="38" spans="1:6" ht="25.5">
      <c r="A38" s="278" t="s">
        <v>571</v>
      </c>
      <c r="B38" s="279" t="s">
        <v>5</v>
      </c>
      <c r="C38" s="292"/>
      <c r="D38" s="292"/>
      <c r="E38" s="292"/>
      <c r="F38" s="292"/>
    </row>
    <row r="39" spans="1:6">
      <c r="A39" s="278" t="s">
        <v>572</v>
      </c>
      <c r="B39" s="279" t="s">
        <v>6</v>
      </c>
      <c r="C39" s="292"/>
      <c r="D39" s="292"/>
      <c r="E39" s="292"/>
      <c r="F39" s="292"/>
    </row>
    <row r="40" spans="1:6">
      <c r="A40" s="278" t="s">
        <v>573</v>
      </c>
      <c r="B40" s="279" t="s">
        <v>7</v>
      </c>
      <c r="C40" s="292"/>
      <c r="D40" s="292"/>
      <c r="E40" s="292"/>
      <c r="F40" s="292"/>
    </row>
    <row r="41" spans="1:6" ht="25.5">
      <c r="A41" s="278" t="s">
        <v>574</v>
      </c>
      <c r="B41" s="279" t="s">
        <v>8</v>
      </c>
      <c r="C41" s="292">
        <v>0</v>
      </c>
      <c r="D41" s="292">
        <v>63903</v>
      </c>
      <c r="E41" s="292">
        <v>0</v>
      </c>
      <c r="F41" s="292">
        <v>128901</v>
      </c>
    </row>
    <row r="42" spans="1:6">
      <c r="A42" s="278" t="s">
        <v>575</v>
      </c>
      <c r="B42" s="279" t="s">
        <v>9</v>
      </c>
      <c r="C42" s="292"/>
      <c r="D42" s="292"/>
      <c r="E42" s="292"/>
      <c r="F42" s="292"/>
    </row>
    <row r="43" spans="1:6" ht="25.5">
      <c r="A43" s="278" t="s">
        <v>576</v>
      </c>
      <c r="B43" s="279" t="s">
        <v>10</v>
      </c>
      <c r="C43" s="292">
        <f>C41+C42-D42</f>
        <v>0</v>
      </c>
      <c r="D43" s="292">
        <v>63903</v>
      </c>
      <c r="E43" s="292">
        <v>0</v>
      </c>
      <c r="F43" s="292">
        <v>128901</v>
      </c>
    </row>
    <row r="44" spans="1:6" ht="16.5" customHeight="1">
      <c r="A44" s="278" t="s">
        <v>577</v>
      </c>
      <c r="B44" s="279" t="s">
        <v>11</v>
      </c>
      <c r="C44" s="292"/>
      <c r="D44" s="292">
        <v>0</v>
      </c>
      <c r="E44" s="292"/>
      <c r="F44" s="292">
        <v>0</v>
      </c>
    </row>
    <row r="45" spans="1:6" ht="30" customHeight="1">
      <c r="A45" s="278" t="s">
        <v>578</v>
      </c>
      <c r="B45" s="279" t="s">
        <v>12</v>
      </c>
      <c r="C45" s="292"/>
      <c r="D45" s="292"/>
      <c r="E45" s="292"/>
      <c r="F45" s="292"/>
    </row>
    <row r="46" spans="1:6" ht="33.75" customHeight="1">
      <c r="A46" s="278" t="s">
        <v>579</v>
      </c>
      <c r="B46" s="279" t="s">
        <v>13</v>
      </c>
      <c r="C46" s="292">
        <v>0</v>
      </c>
      <c r="D46" s="292">
        <v>-63903</v>
      </c>
      <c r="E46" s="292">
        <v>0</v>
      </c>
      <c r="F46" s="292">
        <v>-128901</v>
      </c>
    </row>
    <row r="55" spans="1:6" ht="53.25" customHeight="1"/>
    <row r="56" spans="1:6" ht="31.5" customHeight="1">
      <c r="A56" s="475" t="s">
        <v>580</v>
      </c>
      <c r="B56" s="475"/>
      <c r="C56" s="475"/>
      <c r="D56" s="475"/>
      <c r="E56" s="339"/>
      <c r="F56" s="339"/>
    </row>
    <row r="57" spans="1:6">
      <c r="A57" s="476"/>
      <c r="B57" s="476"/>
      <c r="C57" s="476"/>
      <c r="D57" s="476"/>
      <c r="E57" s="339"/>
      <c r="F57" s="339"/>
    </row>
    <row r="58" spans="1:6" ht="76.5">
      <c r="A58" s="275" t="s">
        <v>550</v>
      </c>
      <c r="B58" s="276" t="s">
        <v>551</v>
      </c>
      <c r="C58" s="276" t="s">
        <v>581</v>
      </c>
      <c r="D58" s="276" t="s">
        <v>582</v>
      </c>
      <c r="E58" s="339"/>
      <c r="F58" s="339"/>
    </row>
    <row r="59" spans="1:6" ht="25.5">
      <c r="A59" s="340" t="s">
        <v>583</v>
      </c>
      <c r="B59" s="341" t="s">
        <v>584</v>
      </c>
      <c r="C59" s="292">
        <v>0</v>
      </c>
      <c r="D59" s="292">
        <v>278838</v>
      </c>
      <c r="E59" s="273"/>
      <c r="F59" s="273"/>
    </row>
    <row r="60" spans="1:6" ht="25.5">
      <c r="A60" s="340" t="s">
        <v>585</v>
      </c>
      <c r="B60" s="341" t="s">
        <v>14</v>
      </c>
      <c r="C60" s="292">
        <v>51932</v>
      </c>
      <c r="D60" s="292">
        <v>74015</v>
      </c>
      <c r="E60" s="273"/>
      <c r="F60" s="273"/>
    </row>
    <row r="61" spans="1:6" ht="25.5">
      <c r="A61" s="340" t="s">
        <v>586</v>
      </c>
      <c r="B61" s="341" t="s">
        <v>587</v>
      </c>
      <c r="C61" s="292">
        <v>367</v>
      </c>
      <c r="D61" s="292">
        <v>77000</v>
      </c>
      <c r="E61" s="273"/>
      <c r="F61" s="273"/>
    </row>
    <row r="62" spans="1:6" ht="25.5">
      <c r="A62" s="340" t="s">
        <v>588</v>
      </c>
      <c r="B62" s="341" t="s">
        <v>589</v>
      </c>
      <c r="C62" s="292"/>
      <c r="D62" s="292"/>
      <c r="E62" s="273"/>
      <c r="F62" s="273"/>
    </row>
    <row r="63" spans="1:6">
      <c r="A63" s="340" t="s">
        <v>590</v>
      </c>
      <c r="B63" s="341" t="s">
        <v>591</v>
      </c>
      <c r="C63" s="292">
        <v>78050</v>
      </c>
      <c r="D63" s="292">
        <v>139597</v>
      </c>
      <c r="E63" s="273"/>
      <c r="F63" s="273"/>
    </row>
    <row r="64" spans="1:6">
      <c r="A64" s="340" t="s">
        <v>592</v>
      </c>
      <c r="B64" s="341" t="s">
        <v>593</v>
      </c>
      <c r="C64" s="292"/>
      <c r="D64" s="292"/>
      <c r="E64" s="273"/>
      <c r="F64" s="273"/>
    </row>
    <row r="65" spans="1:6" ht="25.5">
      <c r="A65" s="340" t="s">
        <v>594</v>
      </c>
      <c r="B65" s="341" t="s">
        <v>595</v>
      </c>
      <c r="C65" s="292"/>
      <c r="D65" s="292"/>
      <c r="E65" s="273"/>
      <c r="F65" s="273"/>
    </row>
    <row r="66" spans="1:6" ht="25.5">
      <c r="A66" s="340" t="s">
        <v>596</v>
      </c>
      <c r="B66" s="341" t="s">
        <v>597</v>
      </c>
      <c r="C66" s="292"/>
      <c r="D66" s="292"/>
      <c r="E66" s="273"/>
      <c r="F66" s="273"/>
    </row>
    <row r="67" spans="1:6" ht="25.5">
      <c r="A67" s="340" t="s">
        <v>598</v>
      </c>
      <c r="B67" s="341" t="s">
        <v>599</v>
      </c>
      <c r="C67" s="292"/>
      <c r="D67" s="292"/>
      <c r="E67" s="273"/>
      <c r="F67" s="273"/>
    </row>
    <row r="68" spans="1:6">
      <c r="A68" s="340" t="s">
        <v>600</v>
      </c>
      <c r="B68" s="341" t="s">
        <v>601</v>
      </c>
      <c r="C68" s="292">
        <v>0</v>
      </c>
      <c r="D68" s="292">
        <v>0</v>
      </c>
      <c r="E68" s="273"/>
      <c r="F68" s="273"/>
    </row>
    <row r="69" spans="1:6">
      <c r="A69" s="340" t="s">
        <v>880</v>
      </c>
      <c r="B69" s="341" t="s">
        <v>602</v>
      </c>
      <c r="C69" s="292">
        <v>0</v>
      </c>
      <c r="D69" s="292">
        <v>47863</v>
      </c>
      <c r="E69" s="273"/>
      <c r="F69" s="273"/>
    </row>
    <row r="70" spans="1:6">
      <c r="A70" s="340" t="s">
        <v>603</v>
      </c>
      <c r="B70" s="341" t="s">
        <v>604</v>
      </c>
      <c r="C70" s="292"/>
      <c r="D70" s="292"/>
      <c r="E70" s="273"/>
      <c r="F70" s="273"/>
    </row>
    <row r="71" spans="1:6">
      <c r="A71" s="340" t="s">
        <v>605</v>
      </c>
      <c r="B71" s="341" t="s">
        <v>606</v>
      </c>
      <c r="C71" s="292"/>
      <c r="D71" s="292"/>
      <c r="E71" s="273"/>
      <c r="F71" s="273"/>
    </row>
    <row r="72" spans="1:6">
      <c r="A72" s="340" t="s">
        <v>607</v>
      </c>
      <c r="B72" s="341" t="s">
        <v>608</v>
      </c>
      <c r="C72" s="292" t="s">
        <v>406</v>
      </c>
      <c r="D72" s="292">
        <v>54813</v>
      </c>
      <c r="E72" s="273"/>
      <c r="F72" s="273"/>
    </row>
    <row r="73" spans="1:6" ht="25.5">
      <c r="A73" s="340" t="s">
        <v>609</v>
      </c>
      <c r="B73" s="341" t="s">
        <v>610</v>
      </c>
      <c r="C73" s="292"/>
      <c r="D73" s="292"/>
      <c r="E73" s="273"/>
      <c r="F73" s="273"/>
    </row>
    <row r="74" spans="1:6">
      <c r="A74" s="340" t="s">
        <v>883</v>
      </c>
      <c r="B74" s="341" t="s">
        <v>611</v>
      </c>
      <c r="C74" s="292">
        <v>19986</v>
      </c>
      <c r="D74" s="292">
        <v>90676</v>
      </c>
      <c r="E74" s="273"/>
      <c r="F74" s="273"/>
    </row>
    <row r="75" spans="1:6" ht="76.5">
      <c r="A75" s="340" t="s">
        <v>612</v>
      </c>
      <c r="B75" s="341" t="s">
        <v>613</v>
      </c>
      <c r="C75" s="292"/>
      <c r="D75" s="292"/>
      <c r="E75" s="273"/>
      <c r="F75" s="273"/>
    </row>
    <row r="76" spans="1:6" ht="38.25">
      <c r="A76" s="340" t="s">
        <v>614</v>
      </c>
      <c r="B76" s="341" t="s">
        <v>615</v>
      </c>
      <c r="C76" s="292">
        <v>52358</v>
      </c>
      <c r="D76" s="292">
        <v>463758</v>
      </c>
      <c r="E76" s="273"/>
      <c r="F76" s="273"/>
    </row>
    <row r="77" spans="1:6">
      <c r="A77" s="340" t="s">
        <v>616</v>
      </c>
      <c r="B77" s="341" t="s">
        <v>617</v>
      </c>
      <c r="C77" s="292"/>
      <c r="D77" s="292"/>
      <c r="E77" s="273"/>
      <c r="F77" s="273"/>
    </row>
    <row r="78" spans="1:6">
      <c r="A78" s="340" t="s">
        <v>618</v>
      </c>
      <c r="B78" s="341" t="s">
        <v>619</v>
      </c>
      <c r="C78" s="292"/>
      <c r="D78" s="292"/>
      <c r="E78" s="273"/>
      <c r="F78" s="273"/>
    </row>
    <row r="79" spans="1:6" ht="25.5">
      <c r="A79" s="340" t="s">
        <v>878</v>
      </c>
      <c r="B79" s="341" t="s">
        <v>620</v>
      </c>
      <c r="C79" s="292"/>
      <c r="D79" s="292">
        <v>815882</v>
      </c>
      <c r="E79" s="273"/>
      <c r="F79" s="273"/>
    </row>
    <row r="80" spans="1:6" ht="25.5">
      <c r="A80" s="340" t="s">
        <v>621</v>
      </c>
      <c r="B80" s="341" t="s">
        <v>622</v>
      </c>
      <c r="C80" s="292">
        <v>202326</v>
      </c>
      <c r="D80" s="292">
        <v>1965442</v>
      </c>
      <c r="E80" s="273"/>
      <c r="F80" s="273"/>
    </row>
    <row r="81" spans="1:6">
      <c r="C81" s="343"/>
      <c r="D81" s="344">
        <v>0</v>
      </c>
      <c r="E81" s="273"/>
      <c r="F81" s="273"/>
    </row>
    <row r="82" spans="1:6">
      <c r="A82" s="280" t="s">
        <v>408</v>
      </c>
      <c r="C82" s="343"/>
      <c r="D82" s="343"/>
      <c r="E82" s="273"/>
      <c r="F82" s="273"/>
    </row>
    <row r="83" spans="1:6">
      <c r="A83" s="281"/>
      <c r="C83" s="343"/>
      <c r="D83" s="343"/>
      <c r="E83" s="273"/>
      <c r="F83" s="273"/>
    </row>
    <row r="84" spans="1:6">
      <c r="A84" s="274" t="s">
        <v>326</v>
      </c>
      <c r="C84" s="343"/>
      <c r="D84" s="343"/>
      <c r="E84" s="273"/>
      <c r="F84" s="273"/>
    </row>
  </sheetData>
  <sortState ref="A454:F482">
    <sortCondition ref="A481"/>
  </sortState>
  <mergeCells count="9">
    <mergeCell ref="A56:D56"/>
    <mergeCell ref="A57:D57"/>
    <mergeCell ref="A1:D1"/>
    <mergeCell ref="C2:F2"/>
    <mergeCell ref="A3:F3"/>
    <mergeCell ref="A18:A19"/>
    <mergeCell ref="B18:B19"/>
    <mergeCell ref="C18:D18"/>
    <mergeCell ref="E18:F18"/>
  </mergeCells>
  <phoneticPr fontId="6" type="noConversion"/>
  <pageMargins left="0.24" right="7.874015748031496E-2" top="0.36" bottom="0.2" header="0.2" footer="0.35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F0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F0"/>
  </sheetPr>
  <dimension ref="S1:BE224"/>
  <sheetViews>
    <sheetView topLeftCell="W56" zoomScale="130" zoomScaleNormal="130" zoomScaleSheetLayoutView="100" workbookViewId="0">
      <pane ySplit="495" topLeftCell="A74" activePane="bottomLeft"/>
      <selection activeCell="O17" sqref="N1:O1048576"/>
      <selection pane="bottomLeft" activeCell="AH80" sqref="X75:AH80"/>
    </sheetView>
  </sheetViews>
  <sheetFormatPr defaultRowHeight="12.75"/>
  <cols>
    <col min="1" max="24" width="9.140625" style="205"/>
    <col min="25" max="25" width="7.42578125" style="205" customWidth="1"/>
    <col min="26" max="29" width="9.140625" style="205" hidden="1" customWidth="1"/>
    <col min="30" max="30" width="4.5703125" style="205" hidden="1" customWidth="1"/>
    <col min="31" max="31" width="9.5703125" style="205" customWidth="1"/>
    <col min="32" max="32" width="17.28515625" style="205" customWidth="1"/>
    <col min="33" max="33" width="9.140625" style="205"/>
    <col min="34" max="34" width="11.85546875" style="205" customWidth="1"/>
    <col min="35" max="35" width="10.7109375" style="205" customWidth="1"/>
    <col min="36" max="36" width="10.42578125" style="205" customWidth="1"/>
    <col min="37" max="37" width="11.5703125" style="205" customWidth="1"/>
    <col min="38" max="38" width="16.42578125" style="205" customWidth="1"/>
    <col min="39" max="39" width="15.28515625" style="205" hidden="1" customWidth="1"/>
    <col min="40" max="40" width="4.140625" style="205" hidden="1" customWidth="1"/>
    <col min="41" max="41" width="9.140625" style="205" hidden="1" customWidth="1"/>
    <col min="42" max="42" width="12.140625" style="205" hidden="1" customWidth="1"/>
    <col min="43" max="43" width="12.85546875" style="205" hidden="1" customWidth="1"/>
    <col min="44" max="44" width="9.140625" style="205" hidden="1" customWidth="1"/>
    <col min="45" max="45" width="11.28515625" style="205" hidden="1" customWidth="1"/>
    <col min="46" max="46" width="9.85546875" style="205" hidden="1" customWidth="1"/>
    <col min="47" max="47" width="13.5703125" style="205" hidden="1" customWidth="1"/>
    <col min="48" max="57" width="9.140625" style="205" hidden="1" customWidth="1"/>
    <col min="58" max="59" width="9.140625" style="205" customWidth="1"/>
    <col min="60" max="16384" width="9.140625" style="205"/>
  </cols>
  <sheetData>
    <row r="1" spans="30:47">
      <c r="AG1" s="226"/>
      <c r="AH1" s="226"/>
      <c r="AI1" s="226"/>
      <c r="AJ1" s="226"/>
      <c r="AK1" s="226" t="s">
        <v>358</v>
      </c>
      <c r="AL1" s="226"/>
    </row>
    <row r="2" spans="30:47" ht="15">
      <c r="AD2" s="481" t="s">
        <v>54</v>
      </c>
      <c r="AE2" s="481"/>
      <c r="AF2" s="481"/>
      <c r="AG2" s="481"/>
      <c r="AH2" s="481"/>
      <c r="AI2" s="481"/>
      <c r="AJ2" s="481"/>
      <c r="AK2" s="481"/>
      <c r="AL2" s="481"/>
      <c r="AM2" s="481"/>
    </row>
    <row r="3" spans="30:47" ht="15">
      <c r="AD3" s="481" t="s">
        <v>863</v>
      </c>
      <c r="AE3" s="481"/>
      <c r="AF3" s="481"/>
      <c r="AG3" s="481"/>
      <c r="AH3" s="481"/>
      <c r="AI3" s="481"/>
      <c r="AJ3" s="481"/>
      <c r="AK3" s="481"/>
      <c r="AL3" s="481"/>
      <c r="AM3" s="481"/>
    </row>
    <row r="5" spans="30:47" ht="58.5" customHeight="1">
      <c r="AD5" s="482" t="s">
        <v>375</v>
      </c>
      <c r="AE5" s="482" t="s">
        <v>376</v>
      </c>
      <c r="AF5" s="482" t="s">
        <v>377</v>
      </c>
      <c r="AG5" s="482" t="s">
        <v>378</v>
      </c>
      <c r="AH5" s="482" t="s">
        <v>379</v>
      </c>
      <c r="AI5" s="482" t="s">
        <v>382</v>
      </c>
      <c r="AJ5" s="482" t="s">
        <v>66</v>
      </c>
      <c r="AK5" s="482" t="s">
        <v>380</v>
      </c>
      <c r="AL5" s="482" t="s">
        <v>381</v>
      </c>
      <c r="AM5" s="482"/>
      <c r="AP5" s="205" t="s">
        <v>790</v>
      </c>
    </row>
    <row r="6" spans="30:47" ht="42" customHeight="1">
      <c r="AD6" s="482"/>
      <c r="AE6" s="482"/>
      <c r="AF6" s="482"/>
      <c r="AG6" s="482"/>
      <c r="AH6" s="482"/>
      <c r="AI6" s="482"/>
      <c r="AJ6" s="482"/>
      <c r="AK6" s="482"/>
      <c r="AL6" s="452" t="s">
        <v>239</v>
      </c>
      <c r="AM6" s="452" t="s">
        <v>240</v>
      </c>
      <c r="AO6" s="342" t="s">
        <v>180</v>
      </c>
      <c r="AP6" s="342" t="s">
        <v>787</v>
      </c>
      <c r="AQ6" s="342"/>
    </row>
    <row r="7" spans="30:47" ht="15.75" customHeight="1">
      <c r="AD7" s="455">
        <v>1</v>
      </c>
      <c r="AE7" s="455">
        <v>2</v>
      </c>
      <c r="AF7" s="455">
        <v>3</v>
      </c>
      <c r="AG7" s="455">
        <v>4</v>
      </c>
      <c r="AH7" s="455">
        <v>5</v>
      </c>
      <c r="AI7" s="455">
        <v>6</v>
      </c>
      <c r="AJ7" s="455">
        <v>7</v>
      </c>
      <c r="AK7" s="455">
        <v>8</v>
      </c>
      <c r="AL7" s="455">
        <v>9</v>
      </c>
      <c r="AM7" s="455">
        <v>10</v>
      </c>
      <c r="AO7" s="342"/>
      <c r="AP7" s="342"/>
      <c r="AQ7" s="342"/>
    </row>
    <row r="8" spans="30:47" ht="14.25" customHeight="1">
      <c r="AD8" s="265">
        <v>1</v>
      </c>
      <c r="AE8" s="265" t="s">
        <v>428</v>
      </c>
      <c r="AF8" s="266" t="s">
        <v>180</v>
      </c>
      <c r="AG8" s="271">
        <f>AO8</f>
        <v>1211.5999999999999</v>
      </c>
      <c r="AH8" s="271">
        <f>ROUND(AK8*93%,0)</f>
        <v>11775765</v>
      </c>
      <c r="AI8" s="271">
        <f>AJ8+AK8</f>
        <v>12662112.6</v>
      </c>
      <c r="AJ8" s="271"/>
      <c r="AK8" s="271">
        <f>AP8</f>
        <v>12662112.6</v>
      </c>
      <c r="AL8" s="271">
        <f>AK8-AH8</f>
        <v>886347.59999999963</v>
      </c>
      <c r="AM8" s="271"/>
      <c r="AO8" s="271">
        <f>696+515.6</f>
        <v>1211.5999999999999</v>
      </c>
      <c r="AP8" s="271">
        <f>7280876+5381236.6</f>
        <v>12662112.6</v>
      </c>
      <c r="AQ8" s="271">
        <f>AK8-AP8</f>
        <v>0</v>
      </c>
    </row>
    <row r="9" spans="30:47" ht="14.25" customHeight="1">
      <c r="AD9" s="265"/>
      <c r="AE9" s="265" t="s">
        <v>449</v>
      </c>
      <c r="AF9" s="266" t="s">
        <v>180</v>
      </c>
      <c r="AG9" s="271"/>
      <c r="AH9" s="271">
        <f t="shared" ref="AH9:AH18" si="0">ROUND(AK9*98%,0)</f>
        <v>0</v>
      </c>
      <c r="AI9" s="271">
        <f t="shared" ref="AI9:AI18" si="1">AJ9+AK9</f>
        <v>0</v>
      </c>
      <c r="AJ9" s="271"/>
      <c r="AK9" s="271">
        <f>AP9</f>
        <v>0</v>
      </c>
      <c r="AL9" s="271">
        <f>AK9-AH9</f>
        <v>0</v>
      </c>
      <c r="AM9" s="271"/>
      <c r="AO9" s="271"/>
      <c r="AP9" s="271"/>
      <c r="AQ9" s="271">
        <f t="shared" ref="AQ9:AQ12" si="2">AK9-AP9</f>
        <v>0</v>
      </c>
    </row>
    <row r="10" spans="30:47" ht="14.25" customHeight="1">
      <c r="AD10" s="265"/>
      <c r="AE10" s="265" t="s">
        <v>179</v>
      </c>
      <c r="AF10" s="266" t="s">
        <v>180</v>
      </c>
      <c r="AG10" s="271"/>
      <c r="AH10" s="271">
        <f t="shared" si="0"/>
        <v>0</v>
      </c>
      <c r="AI10" s="271">
        <f t="shared" si="1"/>
        <v>0</v>
      </c>
      <c r="AJ10" s="271"/>
      <c r="AK10" s="271">
        <f t="shared" ref="AK10:AK12" si="3">AP10</f>
        <v>0</v>
      </c>
      <c r="AL10" s="271">
        <f>AK10-AH10</f>
        <v>0</v>
      </c>
      <c r="AM10" s="271"/>
      <c r="AO10" s="271"/>
      <c r="AP10" s="271"/>
      <c r="AQ10" s="271">
        <f t="shared" si="2"/>
        <v>0</v>
      </c>
    </row>
    <row r="11" spans="30:47" ht="14.25" customHeight="1">
      <c r="AD11" s="265"/>
      <c r="AE11" s="265" t="s">
        <v>345</v>
      </c>
      <c r="AF11" s="266" t="s">
        <v>180</v>
      </c>
      <c r="AG11" s="271"/>
      <c r="AH11" s="271">
        <f t="shared" si="0"/>
        <v>0</v>
      </c>
      <c r="AI11" s="271">
        <f t="shared" si="1"/>
        <v>0</v>
      </c>
      <c r="AJ11" s="271"/>
      <c r="AK11" s="271">
        <f t="shared" si="3"/>
        <v>0</v>
      </c>
      <c r="AL11" s="271">
        <f>AK11-AH11</f>
        <v>0</v>
      </c>
      <c r="AM11" s="271"/>
      <c r="AO11" s="271"/>
      <c r="AP11" s="271"/>
      <c r="AQ11" s="271">
        <f t="shared" si="2"/>
        <v>0</v>
      </c>
    </row>
    <row r="12" spans="30:47" ht="14.25" customHeight="1">
      <c r="AD12" s="265"/>
      <c r="AE12" s="265" t="s">
        <v>37</v>
      </c>
      <c r="AF12" s="266" t="s">
        <v>180</v>
      </c>
      <c r="AG12" s="271"/>
      <c r="AH12" s="271">
        <f t="shared" si="0"/>
        <v>0</v>
      </c>
      <c r="AI12" s="271">
        <f t="shared" si="1"/>
        <v>0</v>
      </c>
      <c r="AJ12" s="271"/>
      <c r="AK12" s="271">
        <f t="shared" si="3"/>
        <v>0</v>
      </c>
      <c r="AL12" s="271">
        <f>AK12-AH12</f>
        <v>0</v>
      </c>
      <c r="AM12" s="271"/>
      <c r="AO12" s="271"/>
      <c r="AP12" s="271"/>
      <c r="AQ12" s="271">
        <f t="shared" si="2"/>
        <v>0</v>
      </c>
    </row>
    <row r="13" spans="30:47" s="43" customFormat="1" ht="14.25" customHeight="1">
      <c r="AD13" s="46"/>
      <c r="AE13" s="46" t="s">
        <v>17</v>
      </c>
      <c r="AF13" s="115"/>
      <c r="AG13" s="91">
        <f>SUM(AG8:AG12)</f>
        <v>1211.5999999999999</v>
      </c>
      <c r="AH13" s="91">
        <f t="shared" ref="AH13:AM13" si="4">SUM(AH8:AH12)</f>
        <v>11775765</v>
      </c>
      <c r="AI13" s="91">
        <f t="shared" si="4"/>
        <v>12662112.6</v>
      </c>
      <c r="AJ13" s="91">
        <f t="shared" si="4"/>
        <v>0</v>
      </c>
      <c r="AK13" s="91">
        <f t="shared" si="4"/>
        <v>12662112.6</v>
      </c>
      <c r="AL13" s="91">
        <f t="shared" si="4"/>
        <v>886347.59999999963</v>
      </c>
      <c r="AM13" s="91">
        <f t="shared" si="4"/>
        <v>0</v>
      </c>
      <c r="AO13" s="91">
        <f t="shared" ref="AO13:AQ13" si="5">SUM(AO8:AO12)</f>
        <v>1211.5999999999999</v>
      </c>
      <c r="AP13" s="91">
        <f t="shared" si="5"/>
        <v>12662112.6</v>
      </c>
      <c r="AQ13" s="91">
        <f t="shared" si="5"/>
        <v>0</v>
      </c>
      <c r="AR13" s="43" t="s">
        <v>864</v>
      </c>
    </row>
    <row r="14" spans="30:47" ht="14.25" customHeight="1">
      <c r="AD14" s="265">
        <v>1</v>
      </c>
      <c r="AE14" s="265" t="s">
        <v>485</v>
      </c>
      <c r="AF14" s="266" t="s">
        <v>180</v>
      </c>
      <c r="AG14" s="271">
        <f>AO14+AR14</f>
        <v>1888.3630000000001</v>
      </c>
      <c r="AH14" s="271">
        <f>ROUND(AK14*93%,0)</f>
        <v>18287208</v>
      </c>
      <c r="AI14" s="271">
        <f t="shared" si="1"/>
        <v>23583313.526199996</v>
      </c>
      <c r="AJ14" s="271">
        <f>3842690+AT14</f>
        <v>3919649.3991299998</v>
      </c>
      <c r="AK14" s="271">
        <f>AP14+AS14</f>
        <v>19663664.127069999</v>
      </c>
      <c r="AL14" s="271">
        <f>AK14-AH14</f>
        <v>1376456.1270699985</v>
      </c>
      <c r="AM14" s="271"/>
      <c r="AO14" s="271">
        <v>1845</v>
      </c>
      <c r="AP14" s="271">
        <v>19213448</v>
      </c>
      <c r="AQ14" s="271">
        <f>AK14-AP14</f>
        <v>450216.12706999853</v>
      </c>
      <c r="AR14" s="271">
        <v>43.363</v>
      </c>
      <c r="AS14" s="271">
        <v>450216.12706999999</v>
      </c>
      <c r="AT14" s="271">
        <v>76959.399129999991</v>
      </c>
      <c r="AU14" s="271">
        <v>527175.52620000008</v>
      </c>
    </row>
    <row r="15" spans="30:47" ht="14.25" customHeight="1">
      <c r="AD15" s="265"/>
      <c r="AE15" s="265" t="s">
        <v>449</v>
      </c>
      <c r="AF15" s="266" t="s">
        <v>180</v>
      </c>
      <c r="AG15" s="271">
        <f t="shared" ref="AG15:AG18" si="6">AO15+AR15</f>
        <v>1118.5240000000001</v>
      </c>
      <c r="AH15" s="271">
        <f>ROUND(AK15*94%,0)</f>
        <v>10572667</v>
      </c>
      <c r="AI15" s="271">
        <f t="shared" si="1"/>
        <v>13419992.09919</v>
      </c>
      <c r="AJ15" s="271">
        <f>1748016+AT15</f>
        <v>2172473.64855</v>
      </c>
      <c r="AK15" s="271">
        <f t="shared" ref="AK15:AK18" si="7">AP15+AS15</f>
        <v>11247518.45064</v>
      </c>
      <c r="AL15" s="271">
        <f>AK15-AH15</f>
        <v>674851.4506400004</v>
      </c>
      <c r="AM15" s="271"/>
      <c r="AO15" s="271">
        <v>869.82</v>
      </c>
      <c r="AP15" s="271">
        <v>8740080</v>
      </c>
      <c r="AQ15" s="271">
        <f t="shared" ref="AQ15:AQ18" si="8">AK15-AP15</f>
        <v>2507438.4506400004</v>
      </c>
      <c r="AR15" s="271">
        <v>248.70400000000001</v>
      </c>
      <c r="AS15" s="271">
        <v>2507438.4506399999</v>
      </c>
      <c r="AT15" s="271">
        <v>424457.64854999998</v>
      </c>
      <c r="AU15" s="271">
        <v>2931896.09919</v>
      </c>
    </row>
    <row r="16" spans="30:47" ht="14.25" customHeight="1">
      <c r="AD16" s="265"/>
      <c r="AE16" s="265" t="s">
        <v>179</v>
      </c>
      <c r="AF16" s="266" t="s">
        <v>180</v>
      </c>
      <c r="AG16" s="271">
        <f t="shared" si="6"/>
        <v>189.55799999999999</v>
      </c>
      <c r="AH16" s="271">
        <f>ROUND(AK16*96%,0)</f>
        <v>1789859</v>
      </c>
      <c r="AI16" s="271">
        <f t="shared" si="1"/>
        <v>2217330.4820000003</v>
      </c>
      <c r="AJ16" s="271">
        <f>244910+AT16</f>
        <v>352894.03103000001</v>
      </c>
      <c r="AK16" s="271">
        <f t="shared" si="7"/>
        <v>1864436.4509700001</v>
      </c>
      <c r="AL16" s="271">
        <f>AK16-AH16</f>
        <v>74577.450970000122</v>
      </c>
      <c r="AM16" s="271"/>
      <c r="AO16" s="271">
        <v>124.536</v>
      </c>
      <c r="AP16" s="271">
        <v>1224548</v>
      </c>
      <c r="AQ16" s="271">
        <f t="shared" si="8"/>
        <v>639888.45097000012</v>
      </c>
      <c r="AR16" s="271">
        <v>65.022000000000006</v>
      </c>
      <c r="AS16" s="271">
        <v>639888.45097000001</v>
      </c>
      <c r="AT16" s="271">
        <v>107984.03103</v>
      </c>
      <c r="AU16" s="271">
        <v>747872.48199999996</v>
      </c>
    </row>
    <row r="17" spans="30:47" ht="14.25" customHeight="1">
      <c r="AD17" s="265"/>
      <c r="AE17" s="265" t="s">
        <v>345</v>
      </c>
      <c r="AF17" s="266" t="s">
        <v>180</v>
      </c>
      <c r="AG17" s="271">
        <f t="shared" si="6"/>
        <v>0</v>
      </c>
      <c r="AH17" s="271">
        <f t="shared" si="0"/>
        <v>0</v>
      </c>
      <c r="AI17" s="271">
        <f t="shared" si="1"/>
        <v>0</v>
      </c>
      <c r="AJ17" s="271">
        <v>0</v>
      </c>
      <c r="AK17" s="271">
        <f t="shared" si="7"/>
        <v>0</v>
      </c>
      <c r="AL17" s="271">
        <f>AK17-AH17</f>
        <v>0</v>
      </c>
      <c r="AM17" s="271"/>
      <c r="AO17" s="271">
        <v>0</v>
      </c>
      <c r="AP17" s="271">
        <v>0</v>
      </c>
      <c r="AQ17" s="271">
        <f t="shared" si="8"/>
        <v>0</v>
      </c>
      <c r="AR17" s="271">
        <v>0</v>
      </c>
      <c r="AS17" s="271">
        <v>0</v>
      </c>
      <c r="AT17" s="271">
        <f>(AS17*0.15)/1000</f>
        <v>0</v>
      </c>
      <c r="AU17" s="271">
        <f>(AS17+AT17)/1000</f>
        <v>0</v>
      </c>
    </row>
    <row r="18" spans="30:47" ht="14.25" customHeight="1">
      <c r="AD18" s="265"/>
      <c r="AE18" s="265" t="s">
        <v>37</v>
      </c>
      <c r="AF18" s="266" t="s">
        <v>180</v>
      </c>
      <c r="AG18" s="271">
        <f t="shared" si="6"/>
        <v>566.89699999999993</v>
      </c>
      <c r="AH18" s="271">
        <f t="shared" si="0"/>
        <v>2861086</v>
      </c>
      <c r="AI18" s="271">
        <f t="shared" si="1"/>
        <v>3483073.09693</v>
      </c>
      <c r="AJ18" s="271">
        <f>502706+AT18</f>
        <v>563597.69090000005</v>
      </c>
      <c r="AK18" s="271">
        <f t="shared" si="7"/>
        <v>2919475.4060299997</v>
      </c>
      <c r="AL18" s="271">
        <f>AK18-AH18</f>
        <v>58389.406029999722</v>
      </c>
      <c r="AM18" s="271"/>
      <c r="AO18" s="271">
        <f>394+94.7</f>
        <v>488.7</v>
      </c>
      <c r="AP18" s="271">
        <f>2022888+490642.8</f>
        <v>2513530.7999999998</v>
      </c>
      <c r="AQ18" s="271">
        <f t="shared" si="8"/>
        <v>405944.60602999991</v>
      </c>
      <c r="AR18" s="271">
        <v>78.197000000000003</v>
      </c>
      <c r="AS18" s="271">
        <v>405944.60602999997</v>
      </c>
      <c r="AT18" s="271">
        <v>60891.690900000009</v>
      </c>
      <c r="AU18" s="271">
        <v>466836.29693000001</v>
      </c>
    </row>
    <row r="19" spans="30:47" s="43" customFormat="1" ht="14.25" customHeight="1">
      <c r="AD19" s="46"/>
      <c r="AE19" s="46" t="s">
        <v>17</v>
      </c>
      <c r="AF19" s="115"/>
      <c r="AG19" s="91">
        <f t="shared" ref="AG19:AS19" si="9">SUM(AG14:AG18)</f>
        <v>3763.3420000000001</v>
      </c>
      <c r="AH19" s="91">
        <f t="shared" si="9"/>
        <v>33510820</v>
      </c>
      <c r="AI19" s="91">
        <f t="shared" si="9"/>
        <v>42703709.204319991</v>
      </c>
      <c r="AJ19" s="91">
        <f t="shared" si="9"/>
        <v>7008614.7696099998</v>
      </c>
      <c r="AK19" s="91">
        <f t="shared" si="9"/>
        <v>35695094.434710003</v>
      </c>
      <c r="AL19" s="91">
        <f t="shared" si="9"/>
        <v>2184274.4347099988</v>
      </c>
      <c r="AM19" s="91">
        <f t="shared" si="9"/>
        <v>0</v>
      </c>
      <c r="AO19" s="91">
        <f t="shared" si="9"/>
        <v>3328.056</v>
      </c>
      <c r="AP19" s="91">
        <f t="shared" si="9"/>
        <v>31691606.800000001</v>
      </c>
      <c r="AQ19" s="91">
        <f t="shared" si="9"/>
        <v>4003487.634709999</v>
      </c>
      <c r="AR19" s="91">
        <f t="shared" si="9"/>
        <v>435.286</v>
      </c>
      <c r="AS19" s="91">
        <f t="shared" si="9"/>
        <v>4003487.6347099999</v>
      </c>
      <c r="AT19" s="91">
        <f t="shared" ref="AT19:AU19" si="10">SUM(AT14:AT18)</f>
        <v>670292.76960999996</v>
      </c>
      <c r="AU19" s="91">
        <f t="shared" si="10"/>
        <v>4673780.4043200007</v>
      </c>
    </row>
    <row r="20" spans="30:47" ht="14.25" customHeight="1">
      <c r="AD20" s="265">
        <v>1</v>
      </c>
      <c r="AE20" s="265" t="s">
        <v>248</v>
      </c>
      <c r="AF20" s="266" t="s">
        <v>180</v>
      </c>
      <c r="AG20" s="271">
        <f t="shared" ref="AG20:AM24" si="11">+AG8+AG14</f>
        <v>3099.9629999999997</v>
      </c>
      <c r="AH20" s="271">
        <f t="shared" si="11"/>
        <v>30062973</v>
      </c>
      <c r="AI20" s="271">
        <f t="shared" si="11"/>
        <v>36245426.126199998</v>
      </c>
      <c r="AJ20" s="271">
        <f t="shared" si="11"/>
        <v>3919649.3991299998</v>
      </c>
      <c r="AK20" s="271">
        <f t="shared" si="11"/>
        <v>32325776.727069996</v>
      </c>
      <c r="AL20" s="271">
        <f t="shared" si="11"/>
        <v>2262803.7270699982</v>
      </c>
      <c r="AM20" s="271">
        <f t="shared" si="11"/>
        <v>0</v>
      </c>
      <c r="AO20" s="271">
        <f t="shared" ref="AO20:AQ24" si="12">+AO8+AO14</f>
        <v>3056.6</v>
      </c>
      <c r="AP20" s="271">
        <f t="shared" si="12"/>
        <v>31875560.600000001</v>
      </c>
      <c r="AQ20" s="271">
        <f t="shared" si="12"/>
        <v>450216.12706999853</v>
      </c>
    </row>
    <row r="21" spans="30:47" ht="14.25" customHeight="1">
      <c r="AD21" s="265"/>
      <c r="AE21" s="265" t="s">
        <v>449</v>
      </c>
      <c r="AF21" s="266" t="s">
        <v>180</v>
      </c>
      <c r="AG21" s="271">
        <f t="shared" si="11"/>
        <v>1118.5240000000001</v>
      </c>
      <c r="AH21" s="271">
        <f t="shared" si="11"/>
        <v>10572667</v>
      </c>
      <c r="AI21" s="271">
        <f t="shared" si="11"/>
        <v>13419992.09919</v>
      </c>
      <c r="AJ21" s="271">
        <f t="shared" si="11"/>
        <v>2172473.64855</v>
      </c>
      <c r="AK21" s="271">
        <f t="shared" si="11"/>
        <v>11247518.45064</v>
      </c>
      <c r="AL21" s="271">
        <f t="shared" si="11"/>
        <v>674851.4506400004</v>
      </c>
      <c r="AM21" s="271">
        <f t="shared" si="11"/>
        <v>0</v>
      </c>
      <c r="AO21" s="271">
        <f t="shared" si="12"/>
        <v>869.82</v>
      </c>
      <c r="AP21" s="271">
        <f t="shared" si="12"/>
        <v>8740080</v>
      </c>
      <c r="AQ21" s="271">
        <f t="shared" si="12"/>
        <v>2507438.4506400004</v>
      </c>
    </row>
    <row r="22" spans="30:47" ht="14.25" customHeight="1">
      <c r="AD22" s="265"/>
      <c r="AE22" s="265" t="s">
        <v>179</v>
      </c>
      <c r="AF22" s="266" t="s">
        <v>180</v>
      </c>
      <c r="AG22" s="271">
        <f t="shared" si="11"/>
        <v>189.55799999999999</v>
      </c>
      <c r="AH22" s="271">
        <f t="shared" si="11"/>
        <v>1789859</v>
      </c>
      <c r="AI22" s="271">
        <f t="shared" si="11"/>
        <v>2217330.4820000003</v>
      </c>
      <c r="AJ22" s="271">
        <f t="shared" si="11"/>
        <v>352894.03103000001</v>
      </c>
      <c r="AK22" s="271">
        <f t="shared" si="11"/>
        <v>1864436.4509700001</v>
      </c>
      <c r="AL22" s="271">
        <f t="shared" si="11"/>
        <v>74577.450970000122</v>
      </c>
      <c r="AM22" s="271">
        <f t="shared" si="11"/>
        <v>0</v>
      </c>
      <c r="AO22" s="271">
        <f t="shared" si="12"/>
        <v>124.536</v>
      </c>
      <c r="AP22" s="271">
        <f t="shared" si="12"/>
        <v>1224548</v>
      </c>
      <c r="AQ22" s="271">
        <f t="shared" si="12"/>
        <v>639888.45097000012</v>
      </c>
    </row>
    <row r="23" spans="30:47" ht="14.25" customHeight="1">
      <c r="AD23" s="265"/>
      <c r="AE23" s="265" t="s">
        <v>345</v>
      </c>
      <c r="AF23" s="266" t="s">
        <v>180</v>
      </c>
      <c r="AG23" s="271">
        <f t="shared" si="11"/>
        <v>0</v>
      </c>
      <c r="AH23" s="271">
        <f t="shared" si="11"/>
        <v>0</v>
      </c>
      <c r="AI23" s="271">
        <f t="shared" si="11"/>
        <v>0</v>
      </c>
      <c r="AJ23" s="271">
        <f t="shared" si="11"/>
        <v>0</v>
      </c>
      <c r="AK23" s="271">
        <f t="shared" si="11"/>
        <v>0</v>
      </c>
      <c r="AL23" s="271">
        <f t="shared" si="11"/>
        <v>0</v>
      </c>
      <c r="AM23" s="271">
        <f t="shared" si="11"/>
        <v>0</v>
      </c>
      <c r="AO23" s="271">
        <f t="shared" si="12"/>
        <v>0</v>
      </c>
      <c r="AP23" s="271">
        <f t="shared" si="12"/>
        <v>0</v>
      </c>
      <c r="AQ23" s="271">
        <f t="shared" si="12"/>
        <v>0</v>
      </c>
    </row>
    <row r="24" spans="30:47" ht="14.25" customHeight="1">
      <c r="AD24" s="265"/>
      <c r="AE24" s="265" t="s">
        <v>37</v>
      </c>
      <c r="AF24" s="266" t="s">
        <v>180</v>
      </c>
      <c r="AG24" s="271">
        <f t="shared" si="11"/>
        <v>566.89699999999993</v>
      </c>
      <c r="AH24" s="271">
        <f t="shared" si="11"/>
        <v>2861086</v>
      </c>
      <c r="AI24" s="271">
        <f t="shared" si="11"/>
        <v>3483073.09693</v>
      </c>
      <c r="AJ24" s="271">
        <f t="shared" si="11"/>
        <v>563597.69090000005</v>
      </c>
      <c r="AK24" s="271">
        <f t="shared" si="11"/>
        <v>2919475.4060299997</v>
      </c>
      <c r="AL24" s="271">
        <f t="shared" si="11"/>
        <v>58389.406029999722</v>
      </c>
      <c r="AM24" s="271">
        <f t="shared" si="11"/>
        <v>0</v>
      </c>
      <c r="AO24" s="271">
        <f t="shared" si="12"/>
        <v>488.7</v>
      </c>
      <c r="AP24" s="271">
        <f t="shared" si="12"/>
        <v>2513530.7999999998</v>
      </c>
      <c r="AQ24" s="271">
        <f t="shared" si="12"/>
        <v>405944.60602999991</v>
      </c>
    </row>
    <row r="25" spans="30:47" s="43" customFormat="1" ht="14.25" customHeight="1">
      <c r="AD25" s="46"/>
      <c r="AE25" s="46" t="s">
        <v>17</v>
      </c>
      <c r="AF25" s="115"/>
      <c r="AG25" s="91">
        <f t="shared" ref="AG25:AQ25" si="13">SUM(AG20:AG24)</f>
        <v>4974.942</v>
      </c>
      <c r="AH25" s="91">
        <f>SUM(AH20:AH24)</f>
        <v>45286585</v>
      </c>
      <c r="AI25" s="91">
        <f t="shared" si="13"/>
        <v>55365821.80432</v>
      </c>
      <c r="AJ25" s="91">
        <f t="shared" si="13"/>
        <v>7008614.7696099998</v>
      </c>
      <c r="AK25" s="91">
        <f t="shared" si="13"/>
        <v>48357207.034709997</v>
      </c>
      <c r="AL25" s="91">
        <f t="shared" si="13"/>
        <v>3070622.0347099984</v>
      </c>
      <c r="AM25" s="91">
        <f t="shared" si="13"/>
        <v>0</v>
      </c>
      <c r="AN25" s="269"/>
      <c r="AO25" s="91">
        <f t="shared" si="13"/>
        <v>4539.6559999999999</v>
      </c>
      <c r="AP25" s="91">
        <f t="shared" si="13"/>
        <v>44353719.399999999</v>
      </c>
      <c r="AQ25" s="91">
        <f t="shared" si="13"/>
        <v>4003487.634709999</v>
      </c>
      <c r="AT25" s="43" t="s">
        <v>792</v>
      </c>
      <c r="AU25" s="43" t="s">
        <v>791</v>
      </c>
    </row>
    <row r="26" spans="30:47" ht="14.25" customHeight="1">
      <c r="AD26" s="265">
        <v>2</v>
      </c>
      <c r="AE26" s="265" t="s">
        <v>18</v>
      </c>
      <c r="AF26" s="266" t="s">
        <v>180</v>
      </c>
      <c r="AG26" s="271">
        <f>AO26+AO27</f>
        <v>1165.2069999999999</v>
      </c>
      <c r="AH26" s="271">
        <f>AU26+AU27</f>
        <v>1556299.8125500004</v>
      </c>
      <c r="AI26" s="271">
        <f>AJ26+AK26</f>
        <v>2095607.8884100001</v>
      </c>
      <c r="AJ26" s="271">
        <f>ROUND(AK26*0.2,0)</f>
        <v>349268</v>
      </c>
      <c r="AK26" s="271">
        <f>AP26+AP27</f>
        <v>1746339.8884100001</v>
      </c>
      <c r="AL26" s="271">
        <f>AK26-AH26</f>
        <v>190040.07585999975</v>
      </c>
      <c r="AM26" s="271"/>
      <c r="AO26" s="271">
        <v>855.82799999999997</v>
      </c>
      <c r="AP26" s="271">
        <v>1358222.9629800001</v>
      </c>
      <c r="AQ26" s="271"/>
      <c r="AR26" s="450" t="s">
        <v>510</v>
      </c>
      <c r="AS26" s="271">
        <f>1676990/1.2</f>
        <v>1397491.6666666667</v>
      </c>
      <c r="AT26" s="271">
        <f>AO26</f>
        <v>855.82799999999997</v>
      </c>
      <c r="AU26" s="271">
        <f>(AS26*AT26)/1000</f>
        <v>1196012.4981000002</v>
      </c>
    </row>
    <row r="27" spans="30:47" ht="14.25" customHeight="1">
      <c r="AD27" s="265"/>
      <c r="AE27" s="265" t="s">
        <v>224</v>
      </c>
      <c r="AF27" s="266" t="s">
        <v>180</v>
      </c>
      <c r="AG27" s="271">
        <f>AO28+AO29</f>
        <v>1136.07</v>
      </c>
      <c r="AH27" s="271">
        <f>AU28+AU29</f>
        <v>1084880.57925</v>
      </c>
      <c r="AI27" s="271">
        <f t="shared" ref="AI27:AI31" si="14">AJ27+AK27</f>
        <v>1391093.47964</v>
      </c>
      <c r="AJ27" s="271">
        <f t="shared" ref="AJ27:AJ31" si="15">ROUND(AK27*0.2,0)</f>
        <v>231849</v>
      </c>
      <c r="AK27" s="271">
        <f>AP28+AP29</f>
        <v>1159244.47964</v>
      </c>
      <c r="AL27" s="271">
        <f t="shared" ref="AL27:AL31" si="16">AK27-AH27</f>
        <v>74363.900390000083</v>
      </c>
      <c r="AM27" s="271"/>
      <c r="AO27" s="271">
        <v>309.37900000000002</v>
      </c>
      <c r="AP27" s="271">
        <v>388116.92543</v>
      </c>
      <c r="AQ27" s="271"/>
      <c r="AR27" s="450" t="s">
        <v>511</v>
      </c>
      <c r="AS27" s="271">
        <f>1397460/1.2</f>
        <v>1164550</v>
      </c>
      <c r="AT27" s="271">
        <f t="shared" ref="AT27:AT31" si="17">AO27</f>
        <v>309.37900000000002</v>
      </c>
      <c r="AU27" s="271">
        <f t="shared" ref="AU27:AU31" si="18">(AS27*AT27)/1000</f>
        <v>360287.31445000006</v>
      </c>
    </row>
    <row r="28" spans="30:47" ht="14.25" customHeight="1">
      <c r="AD28" s="265"/>
      <c r="AE28" s="265" t="s">
        <v>72</v>
      </c>
      <c r="AF28" s="266" t="s">
        <v>180</v>
      </c>
      <c r="AG28" s="271">
        <f>AO30</f>
        <v>630.33600000000001</v>
      </c>
      <c r="AH28" s="271">
        <f>AU30</f>
        <v>462456.51200000005</v>
      </c>
      <c r="AI28" s="271">
        <f t="shared" si="14"/>
        <v>638586.51422000001</v>
      </c>
      <c r="AJ28" s="271">
        <f t="shared" si="15"/>
        <v>106431</v>
      </c>
      <c r="AK28" s="271">
        <f>AP30</f>
        <v>532155.51422000001</v>
      </c>
      <c r="AL28" s="271">
        <f t="shared" si="16"/>
        <v>69699.002219999966</v>
      </c>
      <c r="AM28" s="271"/>
      <c r="AO28" s="271">
        <v>1136.07</v>
      </c>
      <c r="AP28" s="271">
        <v>1159244.47964</v>
      </c>
      <c r="AQ28" s="271"/>
      <c r="AR28" s="450" t="s">
        <v>512</v>
      </c>
      <c r="AS28" s="271">
        <f>1145930/1.2</f>
        <v>954941.66666666674</v>
      </c>
      <c r="AT28" s="271">
        <f t="shared" si="17"/>
        <v>1136.07</v>
      </c>
      <c r="AU28" s="271">
        <f t="shared" si="18"/>
        <v>1084880.57925</v>
      </c>
    </row>
    <row r="29" spans="30:47" ht="14.25" customHeight="1">
      <c r="AD29" s="265"/>
      <c r="AE29" s="265" t="s">
        <v>245</v>
      </c>
      <c r="AF29" s="266" t="s">
        <v>180</v>
      </c>
      <c r="AG29" s="271">
        <f>AO31</f>
        <v>0</v>
      </c>
      <c r="AH29" s="271">
        <v>0</v>
      </c>
      <c r="AI29" s="271">
        <f t="shared" si="14"/>
        <v>0</v>
      </c>
      <c r="AJ29" s="271">
        <f t="shared" si="15"/>
        <v>0</v>
      </c>
      <c r="AK29" s="271">
        <f>AP31</f>
        <v>0</v>
      </c>
      <c r="AL29" s="271">
        <f t="shared" si="16"/>
        <v>0</v>
      </c>
      <c r="AM29" s="271"/>
      <c r="AO29" s="271"/>
      <c r="AP29" s="271">
        <v>0</v>
      </c>
      <c r="AQ29" s="271"/>
      <c r="AR29" s="450" t="s">
        <v>788</v>
      </c>
      <c r="AS29" s="271">
        <f>978220/1.2</f>
        <v>815183.33333333337</v>
      </c>
      <c r="AT29" s="271">
        <f t="shared" si="17"/>
        <v>0</v>
      </c>
      <c r="AU29" s="271">
        <f t="shared" si="18"/>
        <v>0</v>
      </c>
    </row>
    <row r="30" spans="30:47" ht="14.25" customHeight="1">
      <c r="AD30" s="265"/>
      <c r="AE30" s="265" t="s">
        <v>221</v>
      </c>
      <c r="AF30" s="266" t="s">
        <v>180</v>
      </c>
      <c r="AG30" s="271">
        <v>0</v>
      </c>
      <c r="AH30" s="271">
        <v>0</v>
      </c>
      <c r="AI30" s="271">
        <f t="shared" si="14"/>
        <v>0</v>
      </c>
      <c r="AJ30" s="271">
        <f t="shared" si="15"/>
        <v>0</v>
      </c>
      <c r="AK30" s="271">
        <v>0</v>
      </c>
      <c r="AL30" s="271">
        <f t="shared" si="16"/>
        <v>0</v>
      </c>
      <c r="AM30" s="271"/>
      <c r="AO30" s="271">
        <f>516.836+113.5</f>
        <v>630.33600000000001</v>
      </c>
      <c r="AP30" s="271">
        <f>447314.26422+84841.25</f>
        <v>532155.51422000001</v>
      </c>
      <c r="AQ30" s="271"/>
      <c r="AR30" s="450" t="s">
        <v>789</v>
      </c>
      <c r="AS30" s="271">
        <f>880400/1.2</f>
        <v>733666.66666666674</v>
      </c>
      <c r="AT30" s="271">
        <f t="shared" si="17"/>
        <v>630.33600000000001</v>
      </c>
      <c r="AU30" s="271">
        <f t="shared" si="18"/>
        <v>462456.51200000005</v>
      </c>
    </row>
    <row r="31" spans="30:47" ht="14.25" customHeight="1">
      <c r="AD31" s="265"/>
      <c r="AE31" s="265" t="s">
        <v>488</v>
      </c>
      <c r="AF31" s="266" t="s">
        <v>180</v>
      </c>
      <c r="AG31" s="271">
        <v>0</v>
      </c>
      <c r="AH31" s="271">
        <v>0</v>
      </c>
      <c r="AI31" s="271">
        <f t="shared" si="14"/>
        <v>0</v>
      </c>
      <c r="AJ31" s="271">
        <f t="shared" si="15"/>
        <v>0</v>
      </c>
      <c r="AK31" s="271">
        <f t="shared" ref="AK31" si="19">AP31</f>
        <v>0</v>
      </c>
      <c r="AL31" s="271">
        <f t="shared" si="16"/>
        <v>0</v>
      </c>
      <c r="AM31" s="271"/>
      <c r="AO31" s="271"/>
      <c r="AP31" s="271"/>
      <c r="AQ31" s="271"/>
      <c r="AR31" s="450"/>
      <c r="AS31" s="271">
        <f>628870/1.2</f>
        <v>524058.33333333337</v>
      </c>
      <c r="AT31" s="271">
        <f t="shared" si="17"/>
        <v>0</v>
      </c>
      <c r="AU31" s="271">
        <f t="shared" si="18"/>
        <v>0</v>
      </c>
    </row>
    <row r="32" spans="30:47" s="43" customFormat="1" ht="14.25" customHeight="1">
      <c r="AD32" s="46"/>
      <c r="AE32" s="46" t="s">
        <v>468</v>
      </c>
      <c r="AF32" s="46"/>
      <c r="AG32" s="91">
        <f>SUM(AG26:AG31)</f>
        <v>2931.6130000000003</v>
      </c>
      <c r="AH32" s="91">
        <f t="shared" ref="AH32:AM32" si="20">SUM(AH26:AH31)</f>
        <v>3103636.9038000004</v>
      </c>
      <c r="AI32" s="91">
        <f t="shared" si="20"/>
        <v>4125287.8822699999</v>
      </c>
      <c r="AJ32" s="91">
        <f t="shared" si="20"/>
        <v>687548</v>
      </c>
      <c r="AK32" s="91">
        <f t="shared" si="20"/>
        <v>3437739.8822699999</v>
      </c>
      <c r="AL32" s="91">
        <f t="shared" si="20"/>
        <v>334102.9784699998</v>
      </c>
      <c r="AM32" s="91">
        <f t="shared" si="20"/>
        <v>0</v>
      </c>
      <c r="AO32" s="271">
        <f>SUM(AO26:AO31)</f>
        <v>2931.6130000000003</v>
      </c>
      <c r="AP32" s="271">
        <f>SUM(AP26:AP31)</f>
        <v>3437739.8822699999</v>
      </c>
      <c r="AQ32" s="271"/>
      <c r="AR32" s="271">
        <f>SUM(AR26:AR31)</f>
        <v>0</v>
      </c>
      <c r="AS32" s="271">
        <v>0</v>
      </c>
      <c r="AT32" s="271">
        <f t="shared" ref="AT32:AU32" si="21">SUM(AT26:AT31)</f>
        <v>2931.6130000000003</v>
      </c>
      <c r="AU32" s="271">
        <f t="shared" si="21"/>
        <v>3103636.9038000004</v>
      </c>
    </row>
    <row r="33" spans="30:47" ht="14.25" customHeight="1">
      <c r="AD33" s="265">
        <v>3</v>
      </c>
      <c r="AE33" s="265" t="s">
        <v>469</v>
      </c>
      <c r="AF33" s="266" t="s">
        <v>180</v>
      </c>
      <c r="AG33" s="271">
        <f>[4]Хлоппродук!H21+[4]Хлоппродук!H22</f>
        <v>1160.511</v>
      </c>
      <c r="AH33" s="271">
        <v>7195138.1419999991</v>
      </c>
      <c r="AI33" s="271">
        <f>AH33</f>
        <v>7195138.1419999991</v>
      </c>
      <c r="AJ33" s="271">
        <v>0</v>
      </c>
      <c r="AK33" s="271">
        <f>AI33</f>
        <v>7195138.1419999991</v>
      </c>
      <c r="AL33" s="271">
        <f>AK33-AH33</f>
        <v>0</v>
      </c>
      <c r="AM33" s="271"/>
      <c r="AO33" s="271"/>
      <c r="AP33" s="271"/>
      <c r="AQ33" s="271"/>
    </row>
    <row r="34" spans="30:47" s="43" customFormat="1" ht="14.25" customHeight="1">
      <c r="AD34" s="46"/>
      <c r="AE34" s="46" t="s">
        <v>185</v>
      </c>
      <c r="AF34" s="46"/>
      <c r="AG34" s="91">
        <f t="shared" ref="AG34:AM34" si="22">SUM(AG33:AG33)</f>
        <v>1160.511</v>
      </c>
      <c r="AH34" s="91">
        <f t="shared" si="22"/>
        <v>7195138.1419999991</v>
      </c>
      <c r="AI34" s="91">
        <f t="shared" si="22"/>
        <v>7195138.1419999991</v>
      </c>
      <c r="AJ34" s="91">
        <f t="shared" si="22"/>
        <v>0</v>
      </c>
      <c r="AK34" s="91">
        <f t="shared" si="22"/>
        <v>7195138.1419999991</v>
      </c>
      <c r="AL34" s="91">
        <f t="shared" si="22"/>
        <v>0</v>
      </c>
      <c r="AM34" s="91">
        <f t="shared" si="22"/>
        <v>0</v>
      </c>
      <c r="AO34" s="271"/>
      <c r="AP34" s="271"/>
      <c r="AQ34" s="271"/>
    </row>
    <row r="35" spans="30:47" ht="14.25" customHeight="1">
      <c r="AD35" s="265">
        <v>4</v>
      </c>
      <c r="AE35" s="265" t="s">
        <v>249</v>
      </c>
      <c r="AF35" s="266" t="s">
        <v>180</v>
      </c>
      <c r="AG35" s="271"/>
      <c r="AH35" s="271"/>
      <c r="AI35" s="271"/>
      <c r="AJ35" s="271"/>
      <c r="AK35" s="271"/>
      <c r="AL35" s="271">
        <f>AK35-AH35</f>
        <v>0</v>
      </c>
      <c r="AM35" s="271"/>
      <c r="AO35" s="271"/>
      <c r="AP35" s="271"/>
      <c r="AQ35" s="271"/>
    </row>
    <row r="36" spans="30:47" ht="14.25" customHeight="1">
      <c r="AD36" s="265"/>
      <c r="AE36" s="265" t="s">
        <v>374</v>
      </c>
      <c r="AF36" s="266" t="s">
        <v>180</v>
      </c>
      <c r="AG36" s="271">
        <v>339</v>
      </c>
      <c r="AH36" s="271">
        <f>AU36+AU37+AU38</f>
        <v>756787.13899000001</v>
      </c>
      <c r="AI36" s="271">
        <f t="shared" ref="AI36" si="23">AJ36+AK36</f>
        <v>1284447.8</v>
      </c>
      <c r="AJ36" s="271">
        <f t="shared" ref="AJ36" si="24">ROUND(AK36*0.2,0)</f>
        <v>214075</v>
      </c>
      <c r="AK36" s="271">
        <f>AP36</f>
        <v>1070372.8</v>
      </c>
      <c r="AL36" s="271">
        <f>AK36-AH36</f>
        <v>313585.66101000004</v>
      </c>
      <c r="AM36" s="271"/>
      <c r="AO36" s="271">
        <v>338.69400000000002</v>
      </c>
      <c r="AP36" s="271">
        <v>1070372.8</v>
      </c>
      <c r="AQ36" s="271">
        <f t="shared" ref="AQ36:AQ58" si="25">AK36-AP36</f>
        <v>0</v>
      </c>
      <c r="AR36" s="450" t="s">
        <v>793</v>
      </c>
      <c r="AS36" s="271">
        <v>2187810</v>
      </c>
      <c r="AT36" s="271">
        <v>229.523</v>
      </c>
      <c r="AU36" s="271">
        <f t="shared" ref="AU36:AU38" si="26">(AS36*AT36)/1000</f>
        <v>502152.71463</v>
      </c>
    </row>
    <row r="37" spans="30:47" ht="14.25" customHeight="1">
      <c r="AD37" s="265"/>
      <c r="AE37" s="265" t="s">
        <v>373</v>
      </c>
      <c r="AF37" s="266"/>
      <c r="AG37" s="271"/>
      <c r="AH37" s="271"/>
      <c r="AI37" s="271"/>
      <c r="AJ37" s="271">
        <f>ROUND(AI37*20/120,0)</f>
        <v>0</v>
      </c>
      <c r="AK37" s="271">
        <f>AI37-AJ37</f>
        <v>0</v>
      </c>
      <c r="AL37" s="271">
        <f>AK37-AH37</f>
        <v>0</v>
      </c>
      <c r="AM37" s="271"/>
      <c r="AO37" s="271"/>
      <c r="AP37" s="271"/>
      <c r="AQ37" s="271">
        <f t="shared" si="25"/>
        <v>0</v>
      </c>
      <c r="AR37" s="450" t="s">
        <v>800</v>
      </c>
      <c r="AS37" s="271">
        <v>2587360</v>
      </c>
      <c r="AT37" s="271">
        <v>93.210999999999999</v>
      </c>
      <c r="AU37" s="271">
        <f t="shared" si="26"/>
        <v>241170.41296000002</v>
      </c>
    </row>
    <row r="38" spans="30:47" s="43" customFormat="1" ht="14.25" customHeight="1">
      <c r="AD38" s="46"/>
      <c r="AE38" s="46" t="s">
        <v>250</v>
      </c>
      <c r="AF38" s="91"/>
      <c r="AG38" s="91">
        <f>SUM(AG35:AG37)</f>
        <v>339</v>
      </c>
      <c r="AH38" s="91">
        <f t="shared" ref="AH38:AM38" si="27">SUM(AH35:AH37)</f>
        <v>756787.13899000001</v>
      </c>
      <c r="AI38" s="91">
        <f t="shared" si="27"/>
        <v>1284447.8</v>
      </c>
      <c r="AJ38" s="91">
        <f t="shared" si="27"/>
        <v>214075</v>
      </c>
      <c r="AK38" s="91">
        <f t="shared" si="27"/>
        <v>1070372.8</v>
      </c>
      <c r="AL38" s="91">
        <f t="shared" si="27"/>
        <v>313585.66101000004</v>
      </c>
      <c r="AM38" s="91">
        <f t="shared" si="27"/>
        <v>0</v>
      </c>
      <c r="AO38" s="271"/>
      <c r="AP38" s="271"/>
      <c r="AQ38" s="271"/>
      <c r="AR38" s="450" t="s">
        <v>801</v>
      </c>
      <c r="AS38" s="271">
        <v>1787100</v>
      </c>
      <c r="AT38" s="271">
        <v>7.5339999999999998</v>
      </c>
      <c r="AU38" s="271">
        <f t="shared" si="26"/>
        <v>13464.011400000001</v>
      </c>
    </row>
    <row r="39" spans="30:47" ht="14.25" customHeight="1">
      <c r="AD39" s="265">
        <v>5</v>
      </c>
      <c r="AE39" s="265" t="s">
        <v>470</v>
      </c>
      <c r="AF39" s="266" t="s">
        <v>180</v>
      </c>
      <c r="AG39" s="271">
        <v>41.503999999999998</v>
      </c>
      <c r="AH39" s="271">
        <v>28925</v>
      </c>
      <c r="AI39" s="271">
        <f>ROUND(+AH39*120%,0)</f>
        <v>34710</v>
      </c>
      <c r="AJ39" s="271">
        <f>ROUND(AI39*20/120,0)</f>
        <v>5785</v>
      </c>
      <c r="AK39" s="271">
        <f>AI39-AJ39</f>
        <v>28925</v>
      </c>
      <c r="AL39" s="271">
        <f>AK39-AH39</f>
        <v>0</v>
      </c>
      <c r="AM39" s="271"/>
      <c r="AO39" s="271"/>
      <c r="AP39" s="271"/>
      <c r="AQ39" s="271">
        <f t="shared" si="25"/>
        <v>28925</v>
      </c>
    </row>
    <row r="40" spans="30:47" ht="14.25" customHeight="1">
      <c r="AD40" s="265">
        <v>6</v>
      </c>
      <c r="AE40" s="265" t="s">
        <v>471</v>
      </c>
      <c r="AF40" s="266" t="s">
        <v>180</v>
      </c>
      <c r="AG40" s="271">
        <v>359</v>
      </c>
      <c r="AH40" s="271">
        <v>151828</v>
      </c>
      <c r="AI40" s="271">
        <f>ROUND(+AH40*120%,0)</f>
        <v>182194</v>
      </c>
      <c r="AJ40" s="271">
        <f>ROUND(AI40*20/120,0)</f>
        <v>30366</v>
      </c>
      <c r="AK40" s="271">
        <f>AI40-AJ40</f>
        <v>151828</v>
      </c>
      <c r="AL40" s="271">
        <f>AK40-AH40</f>
        <v>0</v>
      </c>
      <c r="AM40" s="271"/>
      <c r="AO40" s="271"/>
      <c r="AP40" s="271"/>
      <c r="AQ40" s="271">
        <f t="shared" si="25"/>
        <v>151828</v>
      </c>
    </row>
    <row r="41" spans="30:47" s="43" customFormat="1" ht="14.25" customHeight="1">
      <c r="AD41" s="46"/>
      <c r="AE41" s="46" t="s">
        <v>384</v>
      </c>
      <c r="AF41" s="46"/>
      <c r="AG41" s="86" t="s">
        <v>65</v>
      </c>
      <c r="AH41" s="91">
        <f t="shared" ref="AH41:AM41" si="28">+AH25+AH32+AH34+AH38+AH39+AH40</f>
        <v>56522900.18479</v>
      </c>
      <c r="AI41" s="91">
        <f t="shared" si="28"/>
        <v>68187599.628590003</v>
      </c>
      <c r="AJ41" s="91">
        <f t="shared" si="28"/>
        <v>7946388.7696099998</v>
      </c>
      <c r="AK41" s="91">
        <f t="shared" si="28"/>
        <v>60241210.858979993</v>
      </c>
      <c r="AL41" s="91">
        <f t="shared" si="28"/>
        <v>3718310.6741899983</v>
      </c>
      <c r="AM41" s="91">
        <f t="shared" si="28"/>
        <v>0</v>
      </c>
      <c r="AO41" s="271"/>
      <c r="AP41" s="271"/>
      <c r="AQ41" s="271">
        <f t="shared" si="25"/>
        <v>60241210.858979993</v>
      </c>
    </row>
    <row r="42" spans="30:47" ht="14.25" customHeight="1">
      <c r="AD42" s="265">
        <v>7</v>
      </c>
      <c r="AE42" s="265" t="s">
        <v>472</v>
      </c>
      <c r="AF42" s="265"/>
      <c r="AG42" s="271"/>
      <c r="AH42" s="271"/>
      <c r="AI42" s="271">
        <f t="shared" ref="AI42:AI56" si="29">ROUND(+AH42*120%,0)</f>
        <v>0</v>
      </c>
      <c r="AJ42" s="271">
        <f t="shared" ref="AJ42:AJ56" si="30">ROUND(AI42*20/120,0)</f>
        <v>0</v>
      </c>
      <c r="AK42" s="271">
        <f t="shared" ref="AK42:AK56" si="31">AI42-AJ42</f>
        <v>0</v>
      </c>
      <c r="AL42" s="271"/>
      <c r="AM42" s="271"/>
      <c r="AO42" s="271"/>
      <c r="AP42" s="271"/>
      <c r="AQ42" s="271">
        <f t="shared" si="25"/>
        <v>0</v>
      </c>
    </row>
    <row r="43" spans="30:47" ht="14.25" customHeight="1">
      <c r="AD43" s="265">
        <f>AD42+1</f>
        <v>8</v>
      </c>
      <c r="AE43" s="265" t="s">
        <v>479</v>
      </c>
      <c r="AF43" s="266" t="s">
        <v>180</v>
      </c>
      <c r="AG43" s="271">
        <v>35.9</v>
      </c>
      <c r="AH43" s="271">
        <v>10585</v>
      </c>
      <c r="AI43" s="271">
        <f t="shared" si="29"/>
        <v>12702</v>
      </c>
      <c r="AJ43" s="271">
        <f t="shared" si="30"/>
        <v>2117</v>
      </c>
      <c r="AK43" s="271">
        <f t="shared" si="31"/>
        <v>10585</v>
      </c>
      <c r="AL43" s="271">
        <f t="shared" ref="AL43:AL56" si="32">AK43-AH43</f>
        <v>0</v>
      </c>
      <c r="AM43" s="271"/>
      <c r="AO43" s="271"/>
      <c r="AP43" s="271"/>
      <c r="AQ43" s="271">
        <f t="shared" si="25"/>
        <v>10585</v>
      </c>
    </row>
    <row r="44" spans="30:47" ht="14.25" customHeight="1">
      <c r="AD44" s="265">
        <f t="shared" ref="AD44:AD56" si="33">AD43+1</f>
        <v>9</v>
      </c>
      <c r="AE44" s="265" t="s">
        <v>486</v>
      </c>
      <c r="AF44" s="265"/>
      <c r="AG44" s="271"/>
      <c r="AH44" s="271"/>
      <c r="AI44" s="271">
        <f t="shared" si="29"/>
        <v>0</v>
      </c>
      <c r="AJ44" s="271">
        <f t="shared" si="30"/>
        <v>0</v>
      </c>
      <c r="AK44" s="271">
        <f t="shared" si="31"/>
        <v>0</v>
      </c>
      <c r="AL44" s="271">
        <f t="shared" si="32"/>
        <v>0</v>
      </c>
      <c r="AM44" s="271"/>
      <c r="AO44" s="271"/>
      <c r="AP44" s="271"/>
      <c r="AQ44" s="271">
        <f t="shared" si="25"/>
        <v>0</v>
      </c>
    </row>
    <row r="45" spans="30:47" ht="14.25" customHeight="1">
      <c r="AD45" s="265">
        <f t="shared" si="33"/>
        <v>10</v>
      </c>
      <c r="AE45" s="265" t="s">
        <v>119</v>
      </c>
      <c r="AF45" s="266"/>
      <c r="AG45" s="271"/>
      <c r="AH45" s="271">
        <v>3025924.3</v>
      </c>
      <c r="AI45" s="271">
        <f t="shared" si="29"/>
        <v>3631109</v>
      </c>
      <c r="AJ45" s="271">
        <f t="shared" si="30"/>
        <v>605185</v>
      </c>
      <c r="AK45" s="271">
        <f t="shared" si="31"/>
        <v>3025924</v>
      </c>
      <c r="AL45" s="271">
        <f t="shared" si="32"/>
        <v>-0.29999999981373549</v>
      </c>
      <c r="AM45" s="271"/>
      <c r="AO45" s="271">
        <v>2145</v>
      </c>
      <c r="AP45" s="271">
        <v>3025924.3</v>
      </c>
      <c r="AQ45" s="271">
        <f t="shared" si="25"/>
        <v>-0.29999999981373549</v>
      </c>
    </row>
    <row r="46" spans="30:47" ht="14.25" customHeight="1">
      <c r="AD46" s="265">
        <f t="shared" si="33"/>
        <v>11</v>
      </c>
      <c r="AE46" s="265" t="s">
        <v>387</v>
      </c>
      <c r="AF46" s="265"/>
      <c r="AG46" s="271"/>
      <c r="AH46" s="271"/>
      <c r="AI46" s="271">
        <f t="shared" si="29"/>
        <v>0</v>
      </c>
      <c r="AJ46" s="271">
        <f t="shared" si="30"/>
        <v>0</v>
      </c>
      <c r="AK46" s="271">
        <f t="shared" si="31"/>
        <v>0</v>
      </c>
      <c r="AL46" s="271">
        <f t="shared" si="32"/>
        <v>0</v>
      </c>
      <c r="AM46" s="271"/>
      <c r="AO46" s="271"/>
      <c r="AP46" s="271"/>
      <c r="AQ46" s="271">
        <f t="shared" si="25"/>
        <v>0</v>
      </c>
    </row>
    <row r="47" spans="30:47" ht="14.25" customHeight="1">
      <c r="AD47" s="265">
        <f t="shared" si="33"/>
        <v>12</v>
      </c>
      <c r="AE47" s="265" t="s">
        <v>194</v>
      </c>
      <c r="AF47" s="265"/>
      <c r="AG47" s="271"/>
      <c r="AH47" s="271"/>
      <c r="AI47" s="271">
        <f t="shared" si="29"/>
        <v>0</v>
      </c>
      <c r="AJ47" s="271">
        <f t="shared" si="30"/>
        <v>0</v>
      </c>
      <c r="AK47" s="271">
        <f t="shared" si="31"/>
        <v>0</v>
      </c>
      <c r="AL47" s="271">
        <f t="shared" si="32"/>
        <v>0</v>
      </c>
      <c r="AM47" s="271"/>
      <c r="AO47" s="271"/>
      <c r="AP47" s="271"/>
      <c r="AQ47" s="271">
        <f t="shared" si="25"/>
        <v>0</v>
      </c>
    </row>
    <row r="48" spans="30:47" ht="14.25" customHeight="1">
      <c r="AD48" s="265">
        <f t="shared" si="33"/>
        <v>13</v>
      </c>
      <c r="AE48" s="265" t="s">
        <v>150</v>
      </c>
      <c r="AF48" s="266" t="s">
        <v>180</v>
      </c>
      <c r="AG48" s="271">
        <v>42.2</v>
      </c>
      <c r="AH48" s="271">
        <v>42225</v>
      </c>
      <c r="AI48" s="271">
        <f t="shared" si="29"/>
        <v>50670</v>
      </c>
      <c r="AJ48" s="271">
        <f t="shared" si="30"/>
        <v>8445</v>
      </c>
      <c r="AK48" s="271">
        <f t="shared" si="31"/>
        <v>42225</v>
      </c>
      <c r="AL48" s="271">
        <f t="shared" si="32"/>
        <v>0</v>
      </c>
      <c r="AM48" s="271"/>
      <c r="AO48" s="271"/>
      <c r="AP48" s="271"/>
      <c r="AQ48" s="271">
        <f t="shared" si="25"/>
        <v>42225</v>
      </c>
    </row>
    <row r="49" spans="30:43" ht="14.25" customHeight="1">
      <c r="AD49" s="265">
        <f t="shared" si="33"/>
        <v>14</v>
      </c>
      <c r="AE49" s="265" t="s">
        <v>213</v>
      </c>
      <c r="AF49" s="265"/>
      <c r="AG49" s="271"/>
      <c r="AH49" s="271"/>
      <c r="AI49" s="271">
        <f t="shared" si="29"/>
        <v>0</v>
      </c>
      <c r="AJ49" s="271">
        <f t="shared" si="30"/>
        <v>0</v>
      </c>
      <c r="AK49" s="271">
        <f>AI49-AJ49</f>
        <v>0</v>
      </c>
      <c r="AL49" s="271">
        <f t="shared" si="32"/>
        <v>0</v>
      </c>
      <c r="AM49" s="271"/>
      <c r="AO49" s="271"/>
      <c r="AP49" s="271"/>
      <c r="AQ49" s="271">
        <f t="shared" si="25"/>
        <v>0</v>
      </c>
    </row>
    <row r="50" spans="30:43" ht="14.25" customHeight="1">
      <c r="AD50" s="265">
        <f t="shared" si="33"/>
        <v>15</v>
      </c>
      <c r="AE50" s="265" t="s">
        <v>467</v>
      </c>
      <c r="AF50" s="265"/>
      <c r="AG50" s="271"/>
      <c r="AH50" s="271">
        <v>792203</v>
      </c>
      <c r="AI50" s="271">
        <f t="shared" si="29"/>
        <v>950644</v>
      </c>
      <c r="AJ50" s="271">
        <f t="shared" si="30"/>
        <v>158441</v>
      </c>
      <c r="AK50" s="271">
        <f t="shared" si="31"/>
        <v>792203</v>
      </c>
      <c r="AL50" s="271">
        <f>AK50-AH50</f>
        <v>0</v>
      </c>
      <c r="AM50" s="271"/>
      <c r="AO50" s="271"/>
      <c r="AP50" s="271"/>
      <c r="AQ50" s="271">
        <f t="shared" si="25"/>
        <v>792203</v>
      </c>
    </row>
    <row r="51" spans="30:43" ht="14.25" customHeight="1">
      <c r="AD51" s="265">
        <f t="shared" si="33"/>
        <v>16</v>
      </c>
      <c r="AE51" s="265" t="s">
        <v>862</v>
      </c>
      <c r="AF51" s="265"/>
      <c r="AG51" s="271"/>
      <c r="AH51" s="271">
        <f>635927/1.15</f>
        <v>552980</v>
      </c>
      <c r="AI51" s="271">
        <f>AK51+AJ51</f>
        <v>635927</v>
      </c>
      <c r="AJ51" s="271">
        <f>AK51*0.15</f>
        <v>82947</v>
      </c>
      <c r="AK51" s="271">
        <f>635927/1.15</f>
        <v>552980</v>
      </c>
      <c r="AL51" s="271">
        <f t="shared" si="32"/>
        <v>0</v>
      </c>
      <c r="AM51" s="271"/>
      <c r="AO51" s="271"/>
      <c r="AP51" s="271"/>
      <c r="AQ51" s="271">
        <f t="shared" si="25"/>
        <v>552980</v>
      </c>
    </row>
    <row r="52" spans="30:43" ht="14.25" hidden="1" customHeight="1">
      <c r="AD52" s="265">
        <f t="shared" si="33"/>
        <v>17</v>
      </c>
      <c r="AE52" s="265" t="s">
        <v>451</v>
      </c>
      <c r="AF52" s="265"/>
      <c r="AG52" s="271"/>
      <c r="AH52" s="271"/>
      <c r="AI52" s="271">
        <f t="shared" si="29"/>
        <v>0</v>
      </c>
      <c r="AJ52" s="271">
        <f t="shared" si="30"/>
        <v>0</v>
      </c>
      <c r="AK52" s="271">
        <f t="shared" si="31"/>
        <v>0</v>
      </c>
      <c r="AL52" s="271">
        <f t="shared" si="32"/>
        <v>0</v>
      </c>
      <c r="AM52" s="271"/>
      <c r="AO52" s="271"/>
      <c r="AP52" s="271"/>
      <c r="AQ52" s="271">
        <f t="shared" si="25"/>
        <v>0</v>
      </c>
    </row>
    <row r="53" spans="30:43" ht="14.25" customHeight="1">
      <c r="AD53" s="265">
        <f t="shared" si="33"/>
        <v>18</v>
      </c>
      <c r="AE53" s="265" t="s">
        <v>460</v>
      </c>
      <c r="AF53" s="265"/>
      <c r="AG53" s="271"/>
      <c r="AH53" s="271"/>
      <c r="AI53" s="271">
        <f t="shared" si="29"/>
        <v>0</v>
      </c>
      <c r="AJ53" s="271">
        <f t="shared" si="30"/>
        <v>0</v>
      </c>
      <c r="AK53" s="271">
        <f t="shared" si="31"/>
        <v>0</v>
      </c>
      <c r="AL53" s="271">
        <f t="shared" si="32"/>
        <v>0</v>
      </c>
      <c r="AM53" s="271"/>
      <c r="AO53" s="271"/>
      <c r="AP53" s="271"/>
      <c r="AQ53" s="271">
        <f t="shared" si="25"/>
        <v>0</v>
      </c>
    </row>
    <row r="54" spans="30:43" ht="14.25" customHeight="1">
      <c r="AD54" s="265">
        <f t="shared" si="33"/>
        <v>19</v>
      </c>
      <c r="AE54" s="265" t="s">
        <v>461</v>
      </c>
      <c r="AF54" s="265"/>
      <c r="AG54" s="271"/>
      <c r="AH54" s="271"/>
      <c r="AI54" s="271">
        <f t="shared" si="29"/>
        <v>0</v>
      </c>
      <c r="AJ54" s="271">
        <f t="shared" si="30"/>
        <v>0</v>
      </c>
      <c r="AK54" s="271">
        <f t="shared" si="31"/>
        <v>0</v>
      </c>
      <c r="AL54" s="271">
        <f t="shared" si="32"/>
        <v>0</v>
      </c>
      <c r="AM54" s="271"/>
      <c r="AO54" s="271"/>
      <c r="AP54" s="271"/>
      <c r="AQ54" s="271">
        <f t="shared" si="25"/>
        <v>0</v>
      </c>
    </row>
    <row r="55" spans="30:43" ht="14.25" customHeight="1">
      <c r="AD55" s="265">
        <f t="shared" si="33"/>
        <v>20</v>
      </c>
      <c r="AE55" s="265" t="s">
        <v>448</v>
      </c>
      <c r="AF55" s="266"/>
      <c r="AG55" s="271"/>
      <c r="AH55" s="271"/>
      <c r="AI55" s="271">
        <f t="shared" si="29"/>
        <v>0</v>
      </c>
      <c r="AJ55" s="271">
        <f t="shared" si="30"/>
        <v>0</v>
      </c>
      <c r="AK55" s="271">
        <f t="shared" si="31"/>
        <v>0</v>
      </c>
      <c r="AL55" s="271">
        <f t="shared" si="32"/>
        <v>0</v>
      </c>
      <c r="AM55" s="271"/>
      <c r="AO55" s="271"/>
      <c r="AP55" s="271"/>
      <c r="AQ55" s="271">
        <f t="shared" si="25"/>
        <v>0</v>
      </c>
    </row>
    <row r="56" spans="30:43" ht="14.25" customHeight="1">
      <c r="AD56" s="265">
        <f t="shared" si="33"/>
        <v>21</v>
      </c>
      <c r="AE56" s="265" t="s">
        <v>204</v>
      </c>
      <c r="AF56" s="265"/>
      <c r="AG56" s="271"/>
      <c r="AH56" s="271"/>
      <c r="AI56" s="271">
        <f t="shared" si="29"/>
        <v>0</v>
      </c>
      <c r="AJ56" s="271">
        <f t="shared" si="30"/>
        <v>0</v>
      </c>
      <c r="AK56" s="271">
        <f t="shared" si="31"/>
        <v>0</v>
      </c>
      <c r="AL56" s="271">
        <f t="shared" si="32"/>
        <v>0</v>
      </c>
      <c r="AM56" s="271"/>
      <c r="AO56" s="271"/>
      <c r="AP56" s="271"/>
      <c r="AQ56" s="271">
        <f t="shared" si="25"/>
        <v>0</v>
      </c>
    </row>
    <row r="57" spans="30:43" ht="14.25" customHeight="1">
      <c r="AD57" s="265"/>
      <c r="AE57" s="46" t="s">
        <v>499</v>
      </c>
      <c r="AF57" s="46"/>
      <c r="AG57" s="91">
        <f t="shared" ref="AG57:AM57" si="34">AG42+AG43+AG44+AG45+AG48+AG49+AG50+AG51+AG52+AG53+AG54+AG55+AG56</f>
        <v>78.099999999999994</v>
      </c>
      <c r="AH57" s="91">
        <f t="shared" si="34"/>
        <v>4423917.3</v>
      </c>
      <c r="AI57" s="91">
        <f t="shared" si="34"/>
        <v>5281052</v>
      </c>
      <c r="AJ57" s="91">
        <f t="shared" si="34"/>
        <v>857135</v>
      </c>
      <c r="AK57" s="91">
        <f t="shared" si="34"/>
        <v>4423917</v>
      </c>
      <c r="AL57" s="91">
        <f t="shared" si="34"/>
        <v>-0.29999999981373549</v>
      </c>
      <c r="AM57" s="91">
        <f t="shared" si="34"/>
        <v>0</v>
      </c>
      <c r="AO57" s="271"/>
      <c r="AP57" s="271"/>
      <c r="AQ57" s="271">
        <f t="shared" si="25"/>
        <v>4423917</v>
      </c>
    </row>
    <row r="58" spans="30:43" ht="14.25" customHeight="1">
      <c r="AD58" s="265"/>
      <c r="AE58" s="46" t="s">
        <v>247</v>
      </c>
      <c r="AF58" s="46"/>
      <c r="AG58" s="86" t="s">
        <v>65</v>
      </c>
      <c r="AH58" s="91">
        <f t="shared" ref="AH58:AM58" si="35">AH41+AH57</f>
        <v>60946817.484789997</v>
      </c>
      <c r="AI58" s="91">
        <f t="shared" si="35"/>
        <v>73468651.628590003</v>
      </c>
      <c r="AJ58" s="91">
        <f t="shared" si="35"/>
        <v>8803523.7696099989</v>
      </c>
      <c r="AK58" s="91">
        <f t="shared" si="35"/>
        <v>64665127.858979993</v>
      </c>
      <c r="AL58" s="91">
        <f t="shared" si="35"/>
        <v>3718310.3741899985</v>
      </c>
      <c r="AM58" s="91">
        <f t="shared" si="35"/>
        <v>0</v>
      </c>
      <c r="AO58" s="271"/>
      <c r="AP58" s="271"/>
      <c r="AQ58" s="271">
        <f t="shared" si="25"/>
        <v>64665127.858979993</v>
      </c>
    </row>
    <row r="59" spans="30:43">
      <c r="AG59" s="226"/>
      <c r="AH59" s="226"/>
      <c r="AI59" s="226"/>
      <c r="AJ59" s="226"/>
      <c r="AK59" s="226"/>
      <c r="AL59" s="226"/>
      <c r="AM59" s="226"/>
    </row>
    <row r="60" spans="30:43" ht="18.75" customHeight="1">
      <c r="AE60" s="95" t="s">
        <v>366</v>
      </c>
      <c r="AG60" s="226"/>
      <c r="AH60" s="226"/>
      <c r="AI60" s="226"/>
      <c r="AJ60" s="226"/>
      <c r="AK60" s="226"/>
      <c r="AL60" s="226"/>
      <c r="AM60" s="226"/>
    </row>
    <row r="61" spans="30:43" ht="27" customHeight="1">
      <c r="AE61" s="95" t="s">
        <v>336</v>
      </c>
      <c r="AH61" s="226"/>
      <c r="AI61" s="226"/>
      <c r="AJ61" s="226"/>
      <c r="AK61" s="226"/>
      <c r="AL61" s="226"/>
      <c r="AM61" s="226"/>
    </row>
    <row r="62" spans="30:43">
      <c r="AI62" s="226"/>
      <c r="AJ62" s="454"/>
      <c r="AK62" s="226"/>
      <c r="AL62" s="226"/>
    </row>
    <row r="63" spans="30:43" ht="12.75" hidden="1" customHeight="1"/>
    <row r="64" spans="30:43" ht="12.75" hidden="1" customHeight="1"/>
    <row r="65" spans="37:42" ht="12.75" hidden="1" customHeight="1"/>
    <row r="66" spans="37:42" ht="12.75" hidden="1" customHeight="1"/>
    <row r="67" spans="37:42" ht="12.75" hidden="1" customHeight="1"/>
    <row r="68" spans="37:42" ht="12.75" hidden="1" customHeight="1"/>
    <row r="69" spans="37:42" ht="12.75" hidden="1" customHeight="1"/>
    <row r="70" spans="37:42" ht="12.75" hidden="1" customHeight="1"/>
    <row r="80" spans="37:42">
      <c r="AK80" s="226"/>
      <c r="AL80" s="226"/>
      <c r="AM80" s="226"/>
      <c r="AN80" s="226"/>
      <c r="AO80" s="226" t="s">
        <v>358</v>
      </c>
      <c r="AP80" s="226"/>
    </row>
    <row r="81" spans="24:43" ht="15">
      <c r="AH81" s="481" t="s">
        <v>54</v>
      </c>
      <c r="AI81" s="481"/>
      <c r="AJ81" s="481"/>
      <c r="AK81" s="481"/>
      <c r="AL81" s="481"/>
      <c r="AM81" s="481"/>
      <c r="AN81" s="481"/>
      <c r="AO81" s="481"/>
      <c r="AP81" s="481"/>
      <c r="AQ81" s="481"/>
    </row>
    <row r="82" spans="24:43" ht="15">
      <c r="AH82" s="481" t="s">
        <v>863</v>
      </c>
      <c r="AI82" s="481"/>
      <c r="AJ82" s="481"/>
      <c r="AK82" s="481"/>
      <c r="AL82" s="481"/>
      <c r="AM82" s="481"/>
      <c r="AN82" s="481"/>
      <c r="AO82" s="481"/>
      <c r="AP82" s="481"/>
      <c r="AQ82" s="481"/>
    </row>
    <row r="84" spans="24:43">
      <c r="AH84" s="482" t="s">
        <v>375</v>
      </c>
      <c r="AI84" s="482" t="s">
        <v>376</v>
      </c>
      <c r="AJ84" s="482" t="s">
        <v>377</v>
      </c>
      <c r="AK84" s="482" t="s">
        <v>378</v>
      </c>
      <c r="AL84" s="482" t="s">
        <v>379</v>
      </c>
      <c r="AM84" s="482" t="s">
        <v>382</v>
      </c>
      <c r="AN84" s="482" t="s">
        <v>66</v>
      </c>
      <c r="AO84" s="482" t="s">
        <v>380</v>
      </c>
      <c r="AP84" s="482" t="s">
        <v>381</v>
      </c>
      <c r="AQ84" s="482"/>
    </row>
    <row r="85" spans="24:43">
      <c r="AH85" s="482"/>
      <c r="AI85" s="482"/>
      <c r="AJ85" s="482"/>
      <c r="AK85" s="482"/>
      <c r="AL85" s="482"/>
      <c r="AM85" s="482"/>
      <c r="AN85" s="482"/>
      <c r="AO85" s="482"/>
      <c r="AP85" s="459" t="s">
        <v>239</v>
      </c>
      <c r="AQ85" s="459" t="s">
        <v>240</v>
      </c>
    </row>
    <row r="86" spans="24:43">
      <c r="AH86" s="461">
        <v>1</v>
      </c>
      <c r="AI86" s="461">
        <v>2</v>
      </c>
      <c r="AJ86" s="461">
        <v>3</v>
      </c>
      <c r="AK86" s="461">
        <v>4</v>
      </c>
      <c r="AL86" s="461">
        <v>5</v>
      </c>
      <c r="AM86" s="461">
        <v>6</v>
      </c>
      <c r="AN86" s="461">
        <v>7</v>
      </c>
      <c r="AO86" s="461">
        <v>8</v>
      </c>
      <c r="AP86" s="461">
        <v>9</v>
      </c>
      <c r="AQ86" s="461">
        <v>10</v>
      </c>
    </row>
    <row r="87" spans="24:43">
      <c r="AH87" s="265">
        <v>1</v>
      </c>
      <c r="AI87" s="265" t="s">
        <v>428</v>
      </c>
      <c r="AJ87" s="266" t="s">
        <v>180</v>
      </c>
      <c r="AK87" s="271">
        <f>AS87</f>
        <v>0</v>
      </c>
      <c r="AL87" s="271">
        <f>ROUND(AO87*93%,0)</f>
        <v>0</v>
      </c>
      <c r="AM87" s="271">
        <f>AN87+AO87</f>
        <v>0</v>
      </c>
      <c r="AN87" s="271"/>
      <c r="AO87" s="271">
        <f>AT87</f>
        <v>0</v>
      </c>
      <c r="AP87" s="271">
        <f>AO87-AL87</f>
        <v>0</v>
      </c>
      <c r="AQ87" s="271"/>
    </row>
    <row r="88" spans="24:43">
      <c r="AH88" s="265"/>
      <c r="AI88" s="265" t="s">
        <v>449</v>
      </c>
      <c r="AJ88" s="266" t="s">
        <v>180</v>
      </c>
      <c r="AK88" s="271"/>
      <c r="AL88" s="271">
        <f t="shared" ref="AL88:AL91" si="36">ROUND(AO88*98%,0)</f>
        <v>0</v>
      </c>
      <c r="AM88" s="271">
        <f t="shared" ref="AM88:AM91" si="37">AN88+AO88</f>
        <v>0</v>
      </c>
      <c r="AN88" s="271"/>
      <c r="AO88" s="271">
        <f>AT88</f>
        <v>0</v>
      </c>
      <c r="AP88" s="271">
        <f>AO88-AL88</f>
        <v>0</v>
      </c>
      <c r="AQ88" s="271"/>
    </row>
    <row r="89" spans="24:43">
      <c r="AH89" s="265"/>
      <c r="AI89" s="265" t="s">
        <v>179</v>
      </c>
      <c r="AJ89" s="266" t="s">
        <v>180</v>
      </c>
      <c r="AK89" s="271"/>
      <c r="AL89" s="271">
        <f t="shared" si="36"/>
        <v>0</v>
      </c>
      <c r="AM89" s="271">
        <f t="shared" si="37"/>
        <v>0</v>
      </c>
      <c r="AN89" s="271"/>
      <c r="AO89" s="271">
        <f t="shared" ref="AO89:AO91" si="38">AT89</f>
        <v>0</v>
      </c>
      <c r="AP89" s="271">
        <f>AO89-AL89</f>
        <v>0</v>
      </c>
      <c r="AQ89" s="271"/>
    </row>
    <row r="90" spans="24:43">
      <c r="AH90" s="265"/>
      <c r="AI90" s="265" t="s">
        <v>345</v>
      </c>
      <c r="AJ90" s="266" t="s">
        <v>180</v>
      </c>
      <c r="AK90" s="271"/>
      <c r="AL90" s="271">
        <f t="shared" si="36"/>
        <v>0</v>
      </c>
      <c r="AM90" s="271">
        <f t="shared" si="37"/>
        <v>0</v>
      </c>
      <c r="AN90" s="271"/>
      <c r="AO90" s="271">
        <f t="shared" si="38"/>
        <v>0</v>
      </c>
      <c r="AP90" s="271">
        <f>AO90-AL90</f>
        <v>0</v>
      </c>
      <c r="AQ90" s="271"/>
    </row>
    <row r="91" spans="24:43">
      <c r="AH91" s="265"/>
      <c r="AI91" s="265" t="s">
        <v>37</v>
      </c>
      <c r="AJ91" s="266" t="s">
        <v>180</v>
      </c>
      <c r="AK91" s="271"/>
      <c r="AL91" s="271">
        <f t="shared" si="36"/>
        <v>0</v>
      </c>
      <c r="AM91" s="271">
        <f t="shared" si="37"/>
        <v>0</v>
      </c>
      <c r="AN91" s="271"/>
      <c r="AO91" s="271">
        <f t="shared" si="38"/>
        <v>0</v>
      </c>
      <c r="AP91" s="271">
        <f>AO91-AL91</f>
        <v>0</v>
      </c>
      <c r="AQ91" s="271"/>
    </row>
    <row r="92" spans="24:43">
      <c r="AH92" s="46"/>
      <c r="AI92" s="46" t="s">
        <v>17</v>
      </c>
      <c r="AJ92" s="115"/>
      <c r="AK92" s="91">
        <f>SUM(AK87:AK91)</f>
        <v>0</v>
      </c>
      <c r="AL92" s="91">
        <f t="shared" ref="AL92:AQ92" si="39">SUM(AL87:AL91)</f>
        <v>0</v>
      </c>
      <c r="AM92" s="91">
        <f t="shared" si="39"/>
        <v>0</v>
      </c>
      <c r="AN92" s="91">
        <f t="shared" si="39"/>
        <v>0</v>
      </c>
      <c r="AO92" s="91">
        <f t="shared" si="39"/>
        <v>0</v>
      </c>
      <c r="AP92" s="91">
        <f t="shared" si="39"/>
        <v>0</v>
      </c>
      <c r="AQ92" s="91">
        <f t="shared" si="39"/>
        <v>0</v>
      </c>
    </row>
    <row r="93" spans="24:43">
      <c r="AH93" s="265">
        <v>1</v>
      </c>
      <c r="AI93" s="265" t="s">
        <v>485</v>
      </c>
      <c r="AJ93" s="266" t="s">
        <v>180</v>
      </c>
      <c r="AK93" s="271">
        <f>AS93+AV93</f>
        <v>0</v>
      </c>
      <c r="AL93" s="271">
        <f>ROUND(AO93*93%,0)</f>
        <v>0</v>
      </c>
      <c r="AM93" s="271">
        <f t="shared" ref="AM93:AM97" si="40">AN93+AO93</f>
        <v>3842690</v>
      </c>
      <c r="AN93" s="271">
        <f>3842690+AX93</f>
        <v>3842690</v>
      </c>
      <c r="AO93" s="271">
        <f>AT93+AW93</f>
        <v>0</v>
      </c>
      <c r="AP93" s="271">
        <f>AO93-AL93</f>
        <v>0</v>
      </c>
      <c r="AQ93" s="271"/>
    </row>
    <row r="94" spans="24:43">
      <c r="AH94" s="265"/>
      <c r="AI94" s="265" t="s">
        <v>449</v>
      </c>
      <c r="AJ94" s="266" t="s">
        <v>180</v>
      </c>
      <c r="AK94" s="271">
        <f t="shared" ref="AK94:AK97" si="41">AS94+AV94</f>
        <v>0</v>
      </c>
      <c r="AL94" s="271">
        <f>ROUND(AO94*94%,0)</f>
        <v>0</v>
      </c>
      <c r="AM94" s="271">
        <f t="shared" si="40"/>
        <v>1748016</v>
      </c>
      <c r="AN94" s="271">
        <f>1748016+AX94</f>
        <v>1748016</v>
      </c>
      <c r="AO94" s="271">
        <f t="shared" ref="AO94:AO97" si="42">AT94+AW94</f>
        <v>0</v>
      </c>
      <c r="AP94" s="271">
        <f>AO94-AL94</f>
        <v>0</v>
      </c>
      <c r="AQ94" s="271"/>
    </row>
    <row r="95" spans="24:43">
      <c r="AA95" s="226"/>
      <c r="AB95" s="226"/>
      <c r="AC95" s="226"/>
      <c r="AD95" s="226"/>
      <c r="AE95" s="226" t="s">
        <v>358</v>
      </c>
      <c r="AF95" s="226"/>
      <c r="AH95" s="265"/>
      <c r="AI95" s="265" t="s">
        <v>179</v>
      </c>
      <c r="AJ95" s="266" t="s">
        <v>180</v>
      </c>
      <c r="AK95" s="271">
        <f t="shared" si="41"/>
        <v>0</v>
      </c>
      <c r="AL95" s="271">
        <f>ROUND(AO95*96%,0)</f>
        <v>0</v>
      </c>
      <c r="AM95" s="271">
        <f t="shared" si="40"/>
        <v>244910</v>
      </c>
      <c r="AN95" s="271">
        <f>244910+AX95</f>
        <v>244910</v>
      </c>
      <c r="AO95" s="271">
        <f t="shared" si="42"/>
        <v>0</v>
      </c>
      <c r="AP95" s="271">
        <f>AO95-AL95</f>
        <v>0</v>
      </c>
      <c r="AQ95" s="271"/>
    </row>
    <row r="96" spans="24:43" ht="15">
      <c r="X96" s="481" t="s">
        <v>54</v>
      </c>
      <c r="Y96" s="481"/>
      <c r="Z96" s="481"/>
      <c r="AA96" s="481"/>
      <c r="AB96" s="481"/>
      <c r="AC96" s="481"/>
      <c r="AD96" s="481"/>
      <c r="AE96" s="481"/>
      <c r="AF96" s="481"/>
      <c r="AG96" s="481"/>
      <c r="AH96" s="265"/>
      <c r="AI96" s="265" t="s">
        <v>345</v>
      </c>
      <c r="AJ96" s="266" t="s">
        <v>180</v>
      </c>
      <c r="AK96" s="271">
        <f t="shared" si="41"/>
        <v>0</v>
      </c>
      <c r="AL96" s="271">
        <f t="shared" ref="AL96:AL97" si="43">ROUND(AO96*98%,0)</f>
        <v>0</v>
      </c>
      <c r="AM96" s="271">
        <f t="shared" si="40"/>
        <v>0</v>
      </c>
      <c r="AN96" s="271">
        <v>0</v>
      </c>
      <c r="AO96" s="271">
        <f t="shared" si="42"/>
        <v>0</v>
      </c>
      <c r="AP96" s="271">
        <f>AO96-AL96</f>
        <v>0</v>
      </c>
      <c r="AQ96" s="271"/>
    </row>
    <row r="97" spans="19:52" ht="15">
      <c r="X97" s="481" t="s">
        <v>863</v>
      </c>
      <c r="Y97" s="481"/>
      <c r="Z97" s="481"/>
      <c r="AA97" s="481"/>
      <c r="AB97" s="481"/>
      <c r="AC97" s="481"/>
      <c r="AD97" s="481"/>
      <c r="AE97" s="481"/>
      <c r="AF97" s="481"/>
      <c r="AG97" s="481"/>
      <c r="AH97" s="265"/>
      <c r="AI97" s="265" t="s">
        <v>37</v>
      </c>
      <c r="AJ97" s="266" t="s">
        <v>180</v>
      </c>
      <c r="AK97" s="271">
        <f t="shared" si="41"/>
        <v>0</v>
      </c>
      <c r="AL97" s="271">
        <f t="shared" si="43"/>
        <v>0</v>
      </c>
      <c r="AM97" s="271">
        <f t="shared" si="40"/>
        <v>502706</v>
      </c>
      <c r="AN97" s="271">
        <f>502706+AX97</f>
        <v>502706</v>
      </c>
      <c r="AO97" s="271">
        <f t="shared" si="42"/>
        <v>0</v>
      </c>
      <c r="AP97" s="271">
        <f>AO97-AL97</f>
        <v>0</v>
      </c>
      <c r="AQ97" s="271"/>
    </row>
    <row r="98" spans="19:52">
      <c r="AH98" s="46"/>
      <c r="AI98" s="46" t="s">
        <v>17</v>
      </c>
      <c r="AJ98" s="115"/>
      <c r="AK98" s="91">
        <f t="shared" ref="AK98:AQ98" si="44">SUM(AK93:AK97)</f>
        <v>0</v>
      </c>
      <c r="AL98" s="91">
        <f t="shared" si="44"/>
        <v>0</v>
      </c>
      <c r="AM98" s="91">
        <f t="shared" si="44"/>
        <v>6338322</v>
      </c>
      <c r="AN98" s="91">
        <f t="shared" si="44"/>
        <v>6338322</v>
      </c>
      <c r="AO98" s="91">
        <f t="shared" si="44"/>
        <v>0</v>
      </c>
      <c r="AP98" s="91">
        <f t="shared" si="44"/>
        <v>0</v>
      </c>
      <c r="AQ98" s="91">
        <f t="shared" si="44"/>
        <v>0</v>
      </c>
    </row>
    <row r="99" spans="19:52">
      <c r="X99" s="482" t="s">
        <v>375</v>
      </c>
      <c r="Y99" s="482" t="s">
        <v>376</v>
      </c>
      <c r="Z99" s="482" t="s">
        <v>377</v>
      </c>
      <c r="AA99" s="482" t="s">
        <v>378</v>
      </c>
      <c r="AB99" s="482" t="s">
        <v>379</v>
      </c>
      <c r="AC99" s="482" t="s">
        <v>382</v>
      </c>
      <c r="AD99" s="482" t="s">
        <v>66</v>
      </c>
      <c r="AE99" s="482" t="s">
        <v>380</v>
      </c>
      <c r="AF99" s="482" t="s">
        <v>381</v>
      </c>
      <c r="AG99" s="482"/>
      <c r="AH99" s="265">
        <v>1</v>
      </c>
      <c r="AI99" s="265" t="s">
        <v>248</v>
      </c>
      <c r="AJ99" s="266" t="s">
        <v>180</v>
      </c>
      <c r="AK99" s="271">
        <f t="shared" ref="AK99:AQ99" si="45">+AK87+AK93</f>
        <v>0</v>
      </c>
      <c r="AL99" s="271">
        <f t="shared" si="45"/>
        <v>0</v>
      </c>
      <c r="AM99" s="271">
        <f t="shared" si="45"/>
        <v>3842690</v>
      </c>
      <c r="AN99" s="271">
        <f t="shared" si="45"/>
        <v>3842690</v>
      </c>
      <c r="AO99" s="271">
        <f t="shared" si="45"/>
        <v>0</v>
      </c>
      <c r="AP99" s="271">
        <f t="shared" si="45"/>
        <v>0</v>
      </c>
      <c r="AQ99" s="271">
        <f t="shared" si="45"/>
        <v>0</v>
      </c>
    </row>
    <row r="100" spans="19:52">
      <c r="X100" s="482"/>
      <c r="Y100" s="482"/>
      <c r="Z100" s="482"/>
      <c r="AA100" s="482"/>
      <c r="AB100" s="482"/>
      <c r="AC100" s="482"/>
      <c r="AD100" s="482"/>
      <c r="AE100" s="482"/>
      <c r="AF100" s="457" t="s">
        <v>239</v>
      </c>
      <c r="AG100" s="457" t="s">
        <v>240</v>
      </c>
      <c r="AH100" s="265"/>
      <c r="AI100" s="265" t="s">
        <v>449</v>
      </c>
      <c r="AJ100" s="266" t="s">
        <v>180</v>
      </c>
      <c r="AK100" s="271">
        <f t="shared" ref="AK100:AQ100" si="46">+AK88+AK94</f>
        <v>0</v>
      </c>
      <c r="AL100" s="271">
        <f t="shared" si="46"/>
        <v>0</v>
      </c>
      <c r="AM100" s="271">
        <f t="shared" si="46"/>
        <v>1748016</v>
      </c>
      <c r="AN100" s="271">
        <f t="shared" si="46"/>
        <v>1748016</v>
      </c>
      <c r="AO100" s="271">
        <f t="shared" si="46"/>
        <v>0</v>
      </c>
      <c r="AP100" s="271">
        <f t="shared" si="46"/>
        <v>0</v>
      </c>
      <c r="AQ100" s="271">
        <f t="shared" si="46"/>
        <v>0</v>
      </c>
    </row>
    <row r="101" spans="19:52">
      <c r="X101" s="458">
        <v>1</v>
      </c>
      <c r="Y101" s="458">
        <v>2</v>
      </c>
      <c r="Z101" s="458">
        <v>3</v>
      </c>
      <c r="AA101" s="458">
        <v>4</v>
      </c>
      <c r="AB101" s="458">
        <v>5</v>
      </c>
      <c r="AC101" s="458">
        <v>6</v>
      </c>
      <c r="AD101" s="458">
        <v>7</v>
      </c>
      <c r="AE101" s="458">
        <v>8</v>
      </c>
      <c r="AF101" s="458">
        <v>9</v>
      </c>
      <c r="AG101" s="458">
        <v>10</v>
      </c>
      <c r="AH101" s="265"/>
      <c r="AI101" s="265" t="s">
        <v>179</v>
      </c>
      <c r="AJ101" s="266" t="s">
        <v>180</v>
      </c>
      <c r="AK101" s="271">
        <f t="shared" ref="AK101:AQ101" si="47">+AK89+AK95</f>
        <v>0</v>
      </c>
      <c r="AL101" s="271">
        <f t="shared" si="47"/>
        <v>0</v>
      </c>
      <c r="AM101" s="271">
        <f t="shared" si="47"/>
        <v>244910</v>
      </c>
      <c r="AN101" s="271">
        <f t="shared" si="47"/>
        <v>244910</v>
      </c>
      <c r="AO101" s="271">
        <f t="shared" si="47"/>
        <v>0</v>
      </c>
      <c r="AP101" s="271">
        <f t="shared" si="47"/>
        <v>0</v>
      </c>
      <c r="AQ101" s="271">
        <f t="shared" si="47"/>
        <v>0</v>
      </c>
    </row>
    <row r="102" spans="19:52">
      <c r="X102" s="265">
        <v>1</v>
      </c>
      <c r="Y102" s="265" t="s">
        <v>428</v>
      </c>
      <c r="Z102" s="266" t="s">
        <v>180</v>
      </c>
      <c r="AA102" s="271" t="str">
        <f>AI102</f>
        <v xml:space="preserve">          IV сорт</v>
      </c>
      <c r="AB102" s="271" t="e">
        <f>ROUND(AE102*93%,0)</f>
        <v>#VALUE!</v>
      </c>
      <c r="AC102" s="271" t="e">
        <f>AD102+AE102</f>
        <v>#VALUE!</v>
      </c>
      <c r="AD102" s="271"/>
      <c r="AE102" s="271" t="str">
        <f>AJ102</f>
        <v>Тонна</v>
      </c>
      <c r="AF102" s="271" t="e">
        <f>AE102-AB102</f>
        <v>#VALUE!</v>
      </c>
      <c r="AG102" s="271"/>
      <c r="AH102" s="265"/>
      <c r="AI102" s="265" t="s">
        <v>345</v>
      </c>
      <c r="AJ102" s="266" t="s">
        <v>180</v>
      </c>
      <c r="AK102" s="271">
        <f t="shared" ref="AK102:AQ102" si="48">+AK90+AK96</f>
        <v>0</v>
      </c>
      <c r="AL102" s="271">
        <f t="shared" si="48"/>
        <v>0</v>
      </c>
      <c r="AM102" s="271">
        <f t="shared" si="48"/>
        <v>0</v>
      </c>
      <c r="AN102" s="271">
        <f t="shared" si="48"/>
        <v>0</v>
      </c>
      <c r="AO102" s="271">
        <f t="shared" si="48"/>
        <v>0</v>
      </c>
      <c r="AP102" s="271">
        <f t="shared" si="48"/>
        <v>0</v>
      </c>
      <c r="AQ102" s="271">
        <f t="shared" si="48"/>
        <v>0</v>
      </c>
    </row>
    <row r="103" spans="19:52">
      <c r="X103" s="265"/>
      <c r="Y103" s="265" t="s">
        <v>449</v>
      </c>
      <c r="Z103" s="266" t="s">
        <v>180</v>
      </c>
      <c r="AA103" s="271"/>
      <c r="AB103" s="271" t="e">
        <f t="shared" ref="AB103:AB106" si="49">ROUND(AE103*98%,0)</f>
        <v>#VALUE!</v>
      </c>
      <c r="AC103" s="271" t="e">
        <f t="shared" ref="AC103:AC106" si="50">AD103+AE103</f>
        <v>#VALUE!</v>
      </c>
      <c r="AD103" s="271"/>
      <c r="AE103" s="271" t="str">
        <f>AJ103</f>
        <v>Тонна</v>
      </c>
      <c r="AF103" s="271" t="e">
        <f>AE103-AB103</f>
        <v>#VALUE!</v>
      </c>
      <c r="AG103" s="271"/>
      <c r="AH103" s="265"/>
      <c r="AI103" s="265" t="s">
        <v>37</v>
      </c>
      <c r="AJ103" s="266" t="s">
        <v>180</v>
      </c>
      <c r="AK103" s="271">
        <f t="shared" ref="AK103:AQ103" si="51">+AK91+AK97</f>
        <v>0</v>
      </c>
      <c r="AL103" s="271">
        <f t="shared" si="51"/>
        <v>0</v>
      </c>
      <c r="AM103" s="271">
        <f t="shared" si="51"/>
        <v>502706</v>
      </c>
      <c r="AN103" s="271">
        <f t="shared" si="51"/>
        <v>502706</v>
      </c>
      <c r="AO103" s="271">
        <f t="shared" si="51"/>
        <v>0</v>
      </c>
      <c r="AP103" s="271">
        <f t="shared" si="51"/>
        <v>0</v>
      </c>
      <c r="AQ103" s="271">
        <f t="shared" si="51"/>
        <v>0</v>
      </c>
    </row>
    <row r="104" spans="19:52">
      <c r="X104" s="265"/>
      <c r="Y104" s="265" t="s">
        <v>179</v>
      </c>
      <c r="Z104" s="266" t="s">
        <v>180</v>
      </c>
      <c r="AA104" s="271"/>
      <c r="AB104" s="271">
        <f t="shared" si="49"/>
        <v>0</v>
      </c>
      <c r="AC104" s="271">
        <f t="shared" si="50"/>
        <v>0</v>
      </c>
      <c r="AD104" s="271"/>
      <c r="AE104" s="271">
        <f t="shared" ref="AE104:AE106" si="52">AJ104</f>
        <v>0</v>
      </c>
      <c r="AF104" s="271">
        <f>AE104-AB104</f>
        <v>0</v>
      </c>
      <c r="AG104" s="271"/>
      <c r="AH104" s="46"/>
      <c r="AI104" s="46" t="s">
        <v>17</v>
      </c>
      <c r="AJ104" s="115"/>
      <c r="AK104" s="91">
        <f t="shared" ref="AK104" si="53">SUM(AK99:AK103)</f>
        <v>0</v>
      </c>
      <c r="AL104" s="91">
        <f>SUM(AL99:AL103)</f>
        <v>0</v>
      </c>
      <c r="AM104" s="91">
        <f t="shared" ref="AM104:AQ104" si="54">SUM(AM99:AM103)</f>
        <v>6338322</v>
      </c>
      <c r="AN104" s="91">
        <f t="shared" si="54"/>
        <v>6338322</v>
      </c>
      <c r="AO104" s="91">
        <f t="shared" si="54"/>
        <v>0</v>
      </c>
      <c r="AP104" s="91">
        <f t="shared" si="54"/>
        <v>0</v>
      </c>
      <c r="AQ104" s="91">
        <f t="shared" si="54"/>
        <v>0</v>
      </c>
    </row>
    <row r="105" spans="19:52">
      <c r="X105" s="265"/>
      <c r="Y105" s="265" t="s">
        <v>345</v>
      </c>
      <c r="Z105" s="266" t="s">
        <v>180</v>
      </c>
      <c r="AA105" s="271"/>
      <c r="AB105" s="271" t="e">
        <f t="shared" si="49"/>
        <v>#VALUE!</v>
      </c>
      <c r="AC105" s="271" t="e">
        <f t="shared" si="50"/>
        <v>#VALUE!</v>
      </c>
      <c r="AD105" s="271"/>
      <c r="AE105" s="271" t="str">
        <f t="shared" si="52"/>
        <v>Тонна</v>
      </c>
      <c r="AF105" s="271" t="e">
        <f>AE105-AB105</f>
        <v>#VALUE!</v>
      </c>
      <c r="AG105" s="271"/>
      <c r="AH105" s="265">
        <v>2</v>
      </c>
      <c r="AI105" s="265" t="s">
        <v>18</v>
      </c>
      <c r="AJ105" s="266" t="s">
        <v>180</v>
      </c>
      <c r="AK105" s="271">
        <f>AS105+AS106</f>
        <v>0</v>
      </c>
      <c r="AL105" s="271">
        <f>AY105+AY106</f>
        <v>0</v>
      </c>
      <c r="AM105" s="271">
        <f>AN105+AO105</f>
        <v>0</v>
      </c>
      <c r="AN105" s="271">
        <f>ROUND(AO105*0.2,0)</f>
        <v>0</v>
      </c>
      <c r="AO105" s="271">
        <f>AT105+AT106</f>
        <v>0</v>
      </c>
      <c r="AP105" s="271">
        <f>AO105-AL105</f>
        <v>0</v>
      </c>
      <c r="AQ105" s="271"/>
    </row>
    <row r="106" spans="19:52">
      <c r="X106" s="265"/>
      <c r="Y106" s="265" t="s">
        <v>37</v>
      </c>
      <c r="Z106" s="266" t="s">
        <v>180</v>
      </c>
      <c r="AA106" s="271"/>
      <c r="AB106" s="271" t="e">
        <f t="shared" si="49"/>
        <v>#VALUE!</v>
      </c>
      <c r="AC106" s="271" t="e">
        <f t="shared" si="50"/>
        <v>#VALUE!</v>
      </c>
      <c r="AD106" s="271"/>
      <c r="AE106" s="271" t="str">
        <f t="shared" si="52"/>
        <v>Тонна</v>
      </c>
      <c r="AF106" s="271" t="e">
        <f>AE106-AB106</f>
        <v>#VALUE!</v>
      </c>
      <c r="AG106" s="271"/>
      <c r="AH106" s="265"/>
      <c r="AI106" s="265" t="s">
        <v>224</v>
      </c>
      <c r="AJ106" s="266" t="s">
        <v>180</v>
      </c>
      <c r="AK106" s="271">
        <f>AS107+AS108</f>
        <v>0</v>
      </c>
      <c r="AL106" s="271">
        <f>AY107+AY108</f>
        <v>0</v>
      </c>
      <c r="AM106" s="271">
        <f t="shared" ref="AM106:AM110" si="55">AN106+AO106</f>
        <v>0</v>
      </c>
      <c r="AN106" s="271">
        <f t="shared" ref="AN106:AN110" si="56">ROUND(AO106*0.2,0)</f>
        <v>0</v>
      </c>
      <c r="AO106" s="271">
        <f>AT107+AT108</f>
        <v>0</v>
      </c>
      <c r="AP106" s="271">
        <f t="shared" ref="AP106:AP110" si="57">AO106-AL106</f>
        <v>0</v>
      </c>
      <c r="AQ106" s="271"/>
    </row>
    <row r="107" spans="19:52">
      <c r="S107" s="43"/>
      <c r="T107" s="43"/>
      <c r="U107" s="43"/>
      <c r="V107" s="43"/>
      <c r="W107" s="43"/>
      <c r="X107" s="46"/>
      <c r="Y107" s="46" t="s">
        <v>17</v>
      </c>
      <c r="Z107" s="115"/>
      <c r="AA107" s="91">
        <f>SUM(AA102:AA106)</f>
        <v>0</v>
      </c>
      <c r="AB107" s="91" t="e">
        <f t="shared" ref="AB107:AG107" si="58">SUM(AB102:AB106)</f>
        <v>#VALUE!</v>
      </c>
      <c r="AC107" s="91" t="e">
        <f t="shared" si="58"/>
        <v>#VALUE!</v>
      </c>
      <c r="AD107" s="91">
        <f t="shared" si="58"/>
        <v>0</v>
      </c>
      <c r="AE107" s="91">
        <f t="shared" si="58"/>
        <v>0</v>
      </c>
      <c r="AF107" s="91" t="e">
        <f t="shared" si="58"/>
        <v>#VALUE!</v>
      </c>
      <c r="AG107" s="91">
        <f t="shared" si="58"/>
        <v>0</v>
      </c>
      <c r="AH107" s="265"/>
      <c r="AI107" s="265" t="s">
        <v>72</v>
      </c>
      <c r="AJ107" s="266" t="s">
        <v>180</v>
      </c>
      <c r="AK107" s="271">
        <f>AS109</f>
        <v>0</v>
      </c>
      <c r="AL107" s="271">
        <f>AY109</f>
        <v>0</v>
      </c>
      <c r="AM107" s="271">
        <f t="shared" si="55"/>
        <v>0</v>
      </c>
      <c r="AN107" s="271">
        <f t="shared" si="56"/>
        <v>0</v>
      </c>
      <c r="AO107" s="271">
        <f>AT109</f>
        <v>0</v>
      </c>
      <c r="AP107" s="271">
        <f t="shared" si="57"/>
        <v>0</v>
      </c>
      <c r="AQ107" s="271"/>
      <c r="AR107" s="43"/>
      <c r="AS107" s="43"/>
      <c r="AT107" s="43"/>
      <c r="AU107" s="43"/>
      <c r="AV107" s="43"/>
      <c r="AW107" s="43"/>
      <c r="AX107" s="43"/>
      <c r="AY107" s="43"/>
      <c r="AZ107" s="43"/>
    </row>
    <row r="108" spans="19:52">
      <c r="X108" s="265">
        <v>1</v>
      </c>
      <c r="Y108" s="265" t="s">
        <v>485</v>
      </c>
      <c r="Z108" s="266" t="s">
        <v>180</v>
      </c>
      <c r="AA108" s="271" t="e">
        <f>AI108+AL108</f>
        <v>#VALUE!</v>
      </c>
      <c r="AB108" s="271" t="e">
        <f>ROUND(AE108*93%,0)</f>
        <v>#VALUE!</v>
      </c>
      <c r="AC108" s="271" t="e">
        <f t="shared" ref="AC108:AC112" si="59">AD108+AE108</f>
        <v>#VALUE!</v>
      </c>
      <c r="AD108" s="271">
        <f>3842690+AN108</f>
        <v>3842690</v>
      </c>
      <c r="AE108" s="271" t="e">
        <f>AJ108+AM108</f>
        <v>#VALUE!</v>
      </c>
      <c r="AF108" s="271" t="e">
        <f>AE108-AB108</f>
        <v>#VALUE!</v>
      </c>
      <c r="AG108" s="271"/>
      <c r="AH108" s="265"/>
      <c r="AI108" s="265" t="s">
        <v>245</v>
      </c>
      <c r="AJ108" s="266" t="s">
        <v>180</v>
      </c>
      <c r="AK108" s="271">
        <f>AS110</f>
        <v>0</v>
      </c>
      <c r="AL108" s="271">
        <v>0</v>
      </c>
      <c r="AM108" s="271">
        <f t="shared" si="55"/>
        <v>0</v>
      </c>
      <c r="AN108" s="271">
        <f t="shared" si="56"/>
        <v>0</v>
      </c>
      <c r="AO108" s="271">
        <f>AT110</f>
        <v>0</v>
      </c>
      <c r="AP108" s="271">
        <f t="shared" si="57"/>
        <v>0</v>
      </c>
      <c r="AQ108" s="271"/>
    </row>
    <row r="109" spans="19:52">
      <c r="X109" s="265"/>
      <c r="Y109" s="265" t="s">
        <v>449</v>
      </c>
      <c r="Z109" s="266" t="s">
        <v>180</v>
      </c>
      <c r="AA109" s="271" t="e">
        <f t="shared" ref="AA109:AA112" si="60">AI109+AL109</f>
        <v>#VALUE!</v>
      </c>
      <c r="AB109" s="271" t="e">
        <f>ROUND(AE109*94%,0)</f>
        <v>#VALUE!</v>
      </c>
      <c r="AC109" s="271" t="e">
        <f t="shared" si="59"/>
        <v>#VALUE!</v>
      </c>
      <c r="AD109" s="271">
        <f>1748016+AN109</f>
        <v>1748016</v>
      </c>
      <c r="AE109" s="271" t="e">
        <f t="shared" ref="AE109:AE112" si="61">AJ109+AM109</f>
        <v>#VALUE!</v>
      </c>
      <c r="AF109" s="271" t="e">
        <f>AE109-AB109</f>
        <v>#VALUE!</v>
      </c>
      <c r="AG109" s="271"/>
      <c r="AH109" s="265"/>
      <c r="AI109" s="265" t="s">
        <v>221</v>
      </c>
      <c r="AJ109" s="266" t="s">
        <v>180</v>
      </c>
      <c r="AK109" s="271">
        <v>0</v>
      </c>
      <c r="AL109" s="271">
        <v>0</v>
      </c>
      <c r="AM109" s="271">
        <f t="shared" si="55"/>
        <v>0</v>
      </c>
      <c r="AN109" s="271">
        <f t="shared" si="56"/>
        <v>0</v>
      </c>
      <c r="AO109" s="271">
        <v>0</v>
      </c>
      <c r="AP109" s="271">
        <f t="shared" si="57"/>
        <v>0</v>
      </c>
      <c r="AQ109" s="271"/>
    </row>
    <row r="110" spans="19:52">
      <c r="X110" s="265"/>
      <c r="Y110" s="265" t="s">
        <v>179</v>
      </c>
      <c r="Z110" s="266" t="s">
        <v>180</v>
      </c>
      <c r="AA110" s="271" t="e">
        <f t="shared" si="60"/>
        <v>#VALUE!</v>
      </c>
      <c r="AB110" s="271" t="e">
        <f>ROUND(AE110*96%,0)</f>
        <v>#VALUE!</v>
      </c>
      <c r="AC110" s="271" t="e">
        <f t="shared" si="59"/>
        <v>#VALUE!</v>
      </c>
      <c r="AD110" s="271">
        <f>244910+AN110</f>
        <v>244910</v>
      </c>
      <c r="AE110" s="271" t="e">
        <f t="shared" si="61"/>
        <v>#VALUE!</v>
      </c>
      <c r="AF110" s="271" t="e">
        <f>AE110-AB110</f>
        <v>#VALUE!</v>
      </c>
      <c r="AG110" s="271"/>
      <c r="AH110" s="265"/>
      <c r="AI110" s="265" t="s">
        <v>488</v>
      </c>
      <c r="AJ110" s="266" t="s">
        <v>180</v>
      </c>
      <c r="AK110" s="271">
        <v>0</v>
      </c>
      <c r="AL110" s="271">
        <v>0</v>
      </c>
      <c r="AM110" s="271">
        <f t="shared" si="55"/>
        <v>0</v>
      </c>
      <c r="AN110" s="271">
        <f t="shared" si="56"/>
        <v>0</v>
      </c>
      <c r="AO110" s="271">
        <f t="shared" ref="AO110" si="62">AT110</f>
        <v>0</v>
      </c>
      <c r="AP110" s="271">
        <f t="shared" si="57"/>
        <v>0</v>
      </c>
      <c r="AQ110" s="271"/>
    </row>
    <row r="111" spans="19:52">
      <c r="X111" s="265"/>
      <c r="Y111" s="265" t="s">
        <v>345</v>
      </c>
      <c r="Z111" s="266" t="s">
        <v>180</v>
      </c>
      <c r="AA111" s="271" t="e">
        <f t="shared" si="60"/>
        <v>#VALUE!</v>
      </c>
      <c r="AB111" s="271">
        <f t="shared" ref="AB111:AB112" si="63">ROUND(AE111*98%,0)</f>
        <v>0</v>
      </c>
      <c r="AC111" s="271">
        <f t="shared" si="59"/>
        <v>0</v>
      </c>
      <c r="AD111" s="271">
        <v>0</v>
      </c>
      <c r="AE111" s="271">
        <f t="shared" si="61"/>
        <v>0</v>
      </c>
      <c r="AF111" s="271">
        <f>AE111-AB111</f>
        <v>0</v>
      </c>
      <c r="AG111" s="271"/>
      <c r="AH111" s="46"/>
      <c r="AI111" s="46" t="s">
        <v>468</v>
      </c>
      <c r="AJ111" s="46"/>
      <c r="AK111" s="91">
        <f>SUM(AK105:AK110)</f>
        <v>0</v>
      </c>
      <c r="AL111" s="91">
        <f t="shared" ref="AL111:AQ111" si="64">SUM(AL105:AL110)</f>
        <v>0</v>
      </c>
      <c r="AM111" s="91">
        <f t="shared" si="64"/>
        <v>0</v>
      </c>
      <c r="AN111" s="91">
        <f t="shared" si="64"/>
        <v>0</v>
      </c>
      <c r="AO111" s="91">
        <f t="shared" si="64"/>
        <v>0</v>
      </c>
      <c r="AP111" s="91">
        <f t="shared" si="64"/>
        <v>0</v>
      </c>
      <c r="AQ111" s="91">
        <f t="shared" si="64"/>
        <v>0</v>
      </c>
    </row>
    <row r="112" spans="19:52">
      <c r="X112" s="265"/>
      <c r="Y112" s="265" t="s">
        <v>37</v>
      </c>
      <c r="Z112" s="266" t="s">
        <v>180</v>
      </c>
      <c r="AA112" s="271" t="e">
        <f t="shared" si="60"/>
        <v>#VALUE!</v>
      </c>
      <c r="AB112" s="271" t="e">
        <f t="shared" si="63"/>
        <v>#VALUE!</v>
      </c>
      <c r="AC112" s="271" t="e">
        <f t="shared" si="59"/>
        <v>#VALUE!</v>
      </c>
      <c r="AD112" s="271">
        <f>502706+AN112</f>
        <v>502706</v>
      </c>
      <c r="AE112" s="271" t="e">
        <f t="shared" si="61"/>
        <v>#VALUE!</v>
      </c>
      <c r="AF112" s="271" t="e">
        <f>AE112-AB112</f>
        <v>#VALUE!</v>
      </c>
      <c r="AG112" s="271"/>
      <c r="AH112" s="265">
        <v>3</v>
      </c>
      <c r="AI112" s="265" t="s">
        <v>469</v>
      </c>
      <c r="AJ112" s="266" t="s">
        <v>180</v>
      </c>
      <c r="AK112" s="271" t="e">
        <f>[4]Хлоппродук!L100+[4]Хлоппродук!L101</f>
        <v>#REF!</v>
      </c>
      <c r="AL112" s="271">
        <v>7195138.1419999991</v>
      </c>
      <c r="AM112" s="271">
        <f>AL112</f>
        <v>7195138.1419999991</v>
      </c>
      <c r="AN112" s="271">
        <v>0</v>
      </c>
      <c r="AO112" s="271">
        <f>AM112</f>
        <v>7195138.1419999991</v>
      </c>
      <c r="AP112" s="271">
        <f>AO112-AL112</f>
        <v>0</v>
      </c>
      <c r="AQ112" s="271"/>
    </row>
    <row r="113" spans="19:52">
      <c r="S113" s="43"/>
      <c r="T113" s="43"/>
      <c r="U113" s="43"/>
      <c r="V113" s="43"/>
      <c r="W113" s="43"/>
      <c r="X113" s="46"/>
      <c r="Y113" s="46" t="s">
        <v>17</v>
      </c>
      <c r="Z113" s="115"/>
      <c r="AA113" s="91" t="e">
        <f t="shared" ref="AA113:AG113" si="65">SUM(AA108:AA112)</f>
        <v>#VALUE!</v>
      </c>
      <c r="AB113" s="91" t="e">
        <f t="shared" si="65"/>
        <v>#VALUE!</v>
      </c>
      <c r="AC113" s="91" t="e">
        <f t="shared" si="65"/>
        <v>#VALUE!</v>
      </c>
      <c r="AD113" s="91">
        <f t="shared" si="65"/>
        <v>6338322</v>
      </c>
      <c r="AE113" s="91" t="e">
        <f t="shared" si="65"/>
        <v>#VALUE!</v>
      </c>
      <c r="AF113" s="91" t="e">
        <f t="shared" si="65"/>
        <v>#VALUE!</v>
      </c>
      <c r="AG113" s="91">
        <f t="shared" si="65"/>
        <v>0</v>
      </c>
      <c r="AH113" s="46"/>
      <c r="AI113" s="46" t="s">
        <v>185</v>
      </c>
      <c r="AJ113" s="46"/>
      <c r="AK113" s="91" t="e">
        <f t="shared" ref="AK113:AQ113" si="66">SUM(AK112:AK112)</f>
        <v>#REF!</v>
      </c>
      <c r="AL113" s="91">
        <f t="shared" si="66"/>
        <v>7195138.1419999991</v>
      </c>
      <c r="AM113" s="91">
        <f t="shared" si="66"/>
        <v>7195138.1419999991</v>
      </c>
      <c r="AN113" s="91">
        <f t="shared" si="66"/>
        <v>0</v>
      </c>
      <c r="AO113" s="91">
        <f t="shared" si="66"/>
        <v>7195138.1419999991</v>
      </c>
      <c r="AP113" s="91">
        <f t="shared" si="66"/>
        <v>0</v>
      </c>
      <c r="AQ113" s="91">
        <f t="shared" si="66"/>
        <v>0</v>
      </c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9:52">
      <c r="X114" s="265">
        <v>1</v>
      </c>
      <c r="Y114" s="265" t="s">
        <v>248</v>
      </c>
      <c r="Z114" s="266" t="s">
        <v>180</v>
      </c>
      <c r="AA114" s="271" t="e">
        <f t="shared" ref="AA114:AG114" si="67">+AA102+AA108</f>
        <v>#VALUE!</v>
      </c>
      <c r="AB114" s="271" t="e">
        <f t="shared" si="67"/>
        <v>#VALUE!</v>
      </c>
      <c r="AC114" s="271" t="e">
        <f t="shared" si="67"/>
        <v>#VALUE!</v>
      </c>
      <c r="AD114" s="271">
        <f t="shared" si="67"/>
        <v>3842690</v>
      </c>
      <c r="AE114" s="271" t="e">
        <f t="shared" si="67"/>
        <v>#VALUE!</v>
      </c>
      <c r="AF114" s="271" t="e">
        <f t="shared" si="67"/>
        <v>#VALUE!</v>
      </c>
      <c r="AG114" s="271">
        <f t="shared" si="67"/>
        <v>0</v>
      </c>
      <c r="AH114" s="265">
        <v>4</v>
      </c>
      <c r="AI114" s="265" t="s">
        <v>249</v>
      </c>
      <c r="AJ114" s="266" t="s">
        <v>180</v>
      </c>
      <c r="AK114" s="271"/>
      <c r="AL114" s="271"/>
      <c r="AM114" s="271"/>
      <c r="AN114" s="271"/>
      <c r="AO114" s="271"/>
      <c r="AP114" s="271">
        <f>AO114-AL114</f>
        <v>0</v>
      </c>
      <c r="AQ114" s="271"/>
    </row>
    <row r="115" spans="19:52">
      <c r="X115" s="265"/>
      <c r="Y115" s="265" t="s">
        <v>449</v>
      </c>
      <c r="Z115" s="266" t="s">
        <v>180</v>
      </c>
      <c r="AA115" s="271" t="e">
        <f t="shared" ref="AA115:AG115" si="68">+AA103+AA109</f>
        <v>#VALUE!</v>
      </c>
      <c r="AB115" s="271" t="e">
        <f t="shared" si="68"/>
        <v>#VALUE!</v>
      </c>
      <c r="AC115" s="271" t="e">
        <f t="shared" si="68"/>
        <v>#VALUE!</v>
      </c>
      <c r="AD115" s="271">
        <f t="shared" si="68"/>
        <v>1748016</v>
      </c>
      <c r="AE115" s="271" t="e">
        <f t="shared" si="68"/>
        <v>#VALUE!</v>
      </c>
      <c r="AF115" s="271" t="e">
        <f t="shared" si="68"/>
        <v>#VALUE!</v>
      </c>
      <c r="AG115" s="271">
        <f t="shared" si="68"/>
        <v>0</v>
      </c>
      <c r="AH115" s="265"/>
      <c r="AI115" s="265" t="s">
        <v>374</v>
      </c>
      <c r="AJ115" s="266" t="s">
        <v>180</v>
      </c>
      <c r="AK115" s="271">
        <v>339</v>
      </c>
      <c r="AL115" s="271">
        <f>AY115+AY116+AY117</f>
        <v>0</v>
      </c>
      <c r="AM115" s="271">
        <f t="shared" ref="AM115" si="69">AN115+AO115</f>
        <v>0</v>
      </c>
      <c r="AN115" s="271">
        <f t="shared" ref="AN115" si="70">ROUND(AO115*0.2,0)</f>
        <v>0</v>
      </c>
      <c r="AO115" s="271">
        <f>AT115</f>
        <v>0</v>
      </c>
      <c r="AP115" s="271">
        <f>AO115-AL115</f>
        <v>0</v>
      </c>
      <c r="AQ115" s="271"/>
    </row>
    <row r="116" spans="19:52">
      <c r="X116" s="265"/>
      <c r="Y116" s="265" t="s">
        <v>179</v>
      </c>
      <c r="Z116" s="266" t="s">
        <v>180</v>
      </c>
      <c r="AA116" s="271" t="e">
        <f t="shared" ref="AA116:AG116" si="71">+AA104+AA110</f>
        <v>#VALUE!</v>
      </c>
      <c r="AB116" s="271" t="e">
        <f t="shared" si="71"/>
        <v>#VALUE!</v>
      </c>
      <c r="AC116" s="271" t="e">
        <f t="shared" si="71"/>
        <v>#VALUE!</v>
      </c>
      <c r="AD116" s="271">
        <f t="shared" si="71"/>
        <v>244910</v>
      </c>
      <c r="AE116" s="271" t="e">
        <f t="shared" si="71"/>
        <v>#VALUE!</v>
      </c>
      <c r="AF116" s="271" t="e">
        <f t="shared" si="71"/>
        <v>#VALUE!</v>
      </c>
      <c r="AG116" s="271">
        <f t="shared" si="71"/>
        <v>0</v>
      </c>
      <c r="AH116" s="265"/>
      <c r="AI116" s="265" t="s">
        <v>373</v>
      </c>
      <c r="AJ116" s="266"/>
      <c r="AK116" s="271"/>
      <c r="AL116" s="271"/>
      <c r="AM116" s="271"/>
      <c r="AN116" s="271">
        <f>ROUND(AM116*20/120,0)</f>
        <v>0</v>
      </c>
      <c r="AO116" s="271">
        <f>AM116-AN116</f>
        <v>0</v>
      </c>
      <c r="AP116" s="271">
        <f>AO116-AL116</f>
        <v>0</v>
      </c>
      <c r="AQ116" s="271"/>
    </row>
    <row r="117" spans="19:52">
      <c r="X117" s="265"/>
      <c r="Y117" s="265" t="s">
        <v>345</v>
      </c>
      <c r="Z117" s="266" t="s">
        <v>180</v>
      </c>
      <c r="AA117" s="271" t="e">
        <f t="shared" ref="AA117:AG117" si="72">+AA105+AA111</f>
        <v>#VALUE!</v>
      </c>
      <c r="AB117" s="271" t="e">
        <f t="shared" si="72"/>
        <v>#VALUE!</v>
      </c>
      <c r="AC117" s="271" t="e">
        <f t="shared" si="72"/>
        <v>#VALUE!</v>
      </c>
      <c r="AD117" s="271">
        <f t="shared" si="72"/>
        <v>0</v>
      </c>
      <c r="AE117" s="271" t="e">
        <f t="shared" si="72"/>
        <v>#VALUE!</v>
      </c>
      <c r="AF117" s="271" t="e">
        <f t="shared" si="72"/>
        <v>#VALUE!</v>
      </c>
      <c r="AG117" s="271">
        <f t="shared" si="72"/>
        <v>0</v>
      </c>
      <c r="AH117" s="46"/>
      <c r="AI117" s="46" t="s">
        <v>250</v>
      </c>
      <c r="AJ117" s="91"/>
      <c r="AK117" s="91">
        <f>SUM(AK114:AK116)</f>
        <v>339</v>
      </c>
      <c r="AL117" s="91">
        <f t="shared" ref="AL117:AQ117" si="73">SUM(AL114:AL116)</f>
        <v>0</v>
      </c>
      <c r="AM117" s="91">
        <f t="shared" si="73"/>
        <v>0</v>
      </c>
      <c r="AN117" s="91">
        <f t="shared" si="73"/>
        <v>0</v>
      </c>
      <c r="AO117" s="91">
        <f t="shared" si="73"/>
        <v>0</v>
      </c>
      <c r="AP117" s="91">
        <f t="shared" si="73"/>
        <v>0</v>
      </c>
      <c r="AQ117" s="91">
        <f t="shared" si="73"/>
        <v>0</v>
      </c>
    </row>
    <row r="118" spans="19:52">
      <c r="X118" s="265"/>
      <c r="Y118" s="265" t="s">
        <v>37</v>
      </c>
      <c r="Z118" s="266" t="s">
        <v>180</v>
      </c>
      <c r="AA118" s="271" t="e">
        <f t="shared" ref="AA118:AG118" si="74">+AA106+AA112</f>
        <v>#VALUE!</v>
      </c>
      <c r="AB118" s="271" t="e">
        <f t="shared" si="74"/>
        <v>#VALUE!</v>
      </c>
      <c r="AC118" s="271" t="e">
        <f t="shared" si="74"/>
        <v>#VALUE!</v>
      </c>
      <c r="AD118" s="271">
        <f t="shared" si="74"/>
        <v>502706</v>
      </c>
      <c r="AE118" s="271" t="e">
        <f t="shared" si="74"/>
        <v>#VALUE!</v>
      </c>
      <c r="AF118" s="271" t="e">
        <f t="shared" si="74"/>
        <v>#VALUE!</v>
      </c>
      <c r="AG118" s="271">
        <f t="shared" si="74"/>
        <v>0</v>
      </c>
      <c r="AH118" s="265">
        <v>5</v>
      </c>
      <c r="AI118" s="265" t="s">
        <v>470</v>
      </c>
      <c r="AJ118" s="266" t="s">
        <v>180</v>
      </c>
      <c r="AK118" s="271">
        <v>41.503999999999998</v>
      </c>
      <c r="AL118" s="271">
        <v>28925</v>
      </c>
      <c r="AM118" s="271">
        <f>ROUND(+AL118*120%,0)</f>
        <v>34710</v>
      </c>
      <c r="AN118" s="271">
        <f>ROUND(AM118*20/120,0)</f>
        <v>5785</v>
      </c>
      <c r="AO118" s="271">
        <f>AM118-AN118</f>
        <v>28925</v>
      </c>
      <c r="AP118" s="271">
        <f>AO118-AL118</f>
        <v>0</v>
      </c>
      <c r="AQ118" s="271"/>
    </row>
    <row r="119" spans="19:52">
      <c r="S119" s="43"/>
      <c r="T119" s="43"/>
      <c r="U119" s="43"/>
      <c r="V119" s="43"/>
      <c r="W119" s="43"/>
      <c r="X119" s="46"/>
      <c r="Y119" s="46" t="s">
        <v>17</v>
      </c>
      <c r="Z119" s="115"/>
      <c r="AA119" s="91" t="e">
        <f t="shared" ref="AA119" si="75">SUM(AA114:AA118)</f>
        <v>#VALUE!</v>
      </c>
      <c r="AB119" s="91" t="e">
        <f>SUM(AB114:AB118)</f>
        <v>#VALUE!</v>
      </c>
      <c r="AC119" s="91" t="e">
        <f t="shared" ref="AC119:AG119" si="76">SUM(AC114:AC118)</f>
        <v>#VALUE!</v>
      </c>
      <c r="AD119" s="91">
        <f t="shared" si="76"/>
        <v>6338322</v>
      </c>
      <c r="AE119" s="91" t="e">
        <f t="shared" si="76"/>
        <v>#VALUE!</v>
      </c>
      <c r="AF119" s="91" t="e">
        <f t="shared" si="76"/>
        <v>#VALUE!</v>
      </c>
      <c r="AG119" s="91">
        <f t="shared" si="76"/>
        <v>0</v>
      </c>
      <c r="AH119" s="265">
        <v>6</v>
      </c>
      <c r="AI119" s="265" t="s">
        <v>471</v>
      </c>
      <c r="AJ119" s="266" t="s">
        <v>180</v>
      </c>
      <c r="AK119" s="271">
        <v>359</v>
      </c>
      <c r="AL119" s="271">
        <v>151828</v>
      </c>
      <c r="AM119" s="271">
        <f>ROUND(+AL119*120%,0)</f>
        <v>182194</v>
      </c>
      <c r="AN119" s="271">
        <f>ROUND(AM119*20/120,0)</f>
        <v>30366</v>
      </c>
      <c r="AO119" s="271">
        <f>AM119-AN119</f>
        <v>151828</v>
      </c>
      <c r="AP119" s="271">
        <f>AO119-AL119</f>
        <v>0</v>
      </c>
      <c r="AQ119" s="271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9:52">
      <c r="X120" s="265">
        <v>2</v>
      </c>
      <c r="Y120" s="265" t="s">
        <v>18</v>
      </c>
      <c r="Z120" s="266" t="s">
        <v>180</v>
      </c>
      <c r="AA120" s="271" t="e">
        <f>AI120+AI121</f>
        <v>#VALUE!</v>
      </c>
      <c r="AB120" s="271">
        <f>AO120+AO121</f>
        <v>7375891.1419999991</v>
      </c>
      <c r="AC120" s="271">
        <f>AD120+AE120</f>
        <v>0</v>
      </c>
      <c r="AD120" s="271">
        <f>ROUND(AE120*0.2,0)</f>
        <v>0</v>
      </c>
      <c r="AE120" s="271">
        <f>AJ120+AJ121</f>
        <v>0</v>
      </c>
      <c r="AF120" s="271">
        <f>AE120-AB120</f>
        <v>-7375891.1419999991</v>
      </c>
      <c r="AG120" s="271"/>
      <c r="AH120" s="46"/>
      <c r="AI120" s="46" t="s">
        <v>384</v>
      </c>
      <c r="AJ120" s="46"/>
      <c r="AK120" s="86" t="s">
        <v>65</v>
      </c>
      <c r="AL120" s="91">
        <f t="shared" ref="AL120:AQ120" si="77">+AL104+AL111+AL113+AL117+AL118+AL119</f>
        <v>7375891.1419999991</v>
      </c>
      <c r="AM120" s="91">
        <f t="shared" si="77"/>
        <v>13750364.141999999</v>
      </c>
      <c r="AN120" s="91">
        <f t="shared" si="77"/>
        <v>6374473</v>
      </c>
      <c r="AO120" s="91">
        <f t="shared" si="77"/>
        <v>7375891.1419999991</v>
      </c>
      <c r="AP120" s="91">
        <f t="shared" si="77"/>
        <v>0</v>
      </c>
      <c r="AQ120" s="91">
        <f t="shared" si="77"/>
        <v>0</v>
      </c>
    </row>
    <row r="121" spans="19:52">
      <c r="X121" s="265"/>
      <c r="Y121" s="265" t="s">
        <v>224</v>
      </c>
      <c r="Z121" s="266" t="s">
        <v>180</v>
      </c>
      <c r="AA121" s="271" t="e">
        <f>AI122+AI123</f>
        <v>#VALUE!</v>
      </c>
      <c r="AB121" s="271">
        <f>AO122+AO123</f>
        <v>10585</v>
      </c>
      <c r="AC121" s="271" t="e">
        <f t="shared" ref="AC121:AC125" si="78">AD121+AE121</f>
        <v>#VALUE!</v>
      </c>
      <c r="AD121" s="271" t="e">
        <f t="shared" ref="AD121:AD125" si="79">ROUND(AE121*0.2,0)</f>
        <v>#VALUE!</v>
      </c>
      <c r="AE121" s="271" t="e">
        <f>AJ122+AJ123</f>
        <v>#VALUE!</v>
      </c>
      <c r="AF121" s="271" t="e">
        <f t="shared" ref="AF121:AF125" si="80">AE121-AB121</f>
        <v>#VALUE!</v>
      </c>
      <c r="AG121" s="271"/>
      <c r="AH121" s="265">
        <v>7</v>
      </c>
      <c r="AI121" s="265" t="s">
        <v>472</v>
      </c>
      <c r="AJ121" s="265"/>
      <c r="AK121" s="271"/>
      <c r="AL121" s="271"/>
      <c r="AM121" s="271">
        <f t="shared" ref="AM121:AM129" si="81">ROUND(+AL121*120%,0)</f>
        <v>0</v>
      </c>
      <c r="AN121" s="271">
        <f t="shared" ref="AN121:AN129" si="82">ROUND(AM121*20/120,0)</f>
        <v>0</v>
      </c>
      <c r="AO121" s="271">
        <f t="shared" ref="AO121:AO127" si="83">AM121-AN121</f>
        <v>0</v>
      </c>
      <c r="AP121" s="271"/>
      <c r="AQ121" s="271"/>
    </row>
    <row r="122" spans="19:52">
      <c r="X122" s="265"/>
      <c r="Y122" s="265" t="s">
        <v>72</v>
      </c>
      <c r="Z122" s="266" t="s">
        <v>180</v>
      </c>
      <c r="AA122" s="271" t="str">
        <f>AI124</f>
        <v>Тегирмон хизмати</v>
      </c>
      <c r="AB122" s="271">
        <f>AO124</f>
        <v>3025924</v>
      </c>
      <c r="AC122" s="271">
        <f t="shared" si="78"/>
        <v>0</v>
      </c>
      <c r="AD122" s="271">
        <f t="shared" si="79"/>
        <v>0</v>
      </c>
      <c r="AE122" s="271">
        <f>AJ124</f>
        <v>0</v>
      </c>
      <c r="AF122" s="271">
        <f t="shared" si="80"/>
        <v>-3025924</v>
      </c>
      <c r="AG122" s="271"/>
      <c r="AH122" s="265">
        <f>AH121+1</f>
        <v>8</v>
      </c>
      <c r="AI122" s="265" t="s">
        <v>479</v>
      </c>
      <c r="AJ122" s="266" t="s">
        <v>180</v>
      </c>
      <c r="AK122" s="271">
        <v>35.9</v>
      </c>
      <c r="AL122" s="271">
        <v>10585</v>
      </c>
      <c r="AM122" s="271">
        <f t="shared" si="81"/>
        <v>12702</v>
      </c>
      <c r="AN122" s="271">
        <f t="shared" si="82"/>
        <v>2117</v>
      </c>
      <c r="AO122" s="271">
        <f t="shared" si="83"/>
        <v>10585</v>
      </c>
      <c r="AP122" s="271">
        <f t="shared" ref="AP122:AP128" si="84">AO122-AL122</f>
        <v>0</v>
      </c>
      <c r="AQ122" s="271"/>
    </row>
    <row r="123" spans="19:52">
      <c r="X123" s="265"/>
      <c r="Y123" s="265" t="s">
        <v>245</v>
      </c>
      <c r="Z123" s="266" t="s">
        <v>180</v>
      </c>
      <c r="AA123" s="271" t="str">
        <f>AI125</f>
        <v>Пахтадан йигир ип</v>
      </c>
      <c r="AB123" s="271">
        <v>0</v>
      </c>
      <c r="AC123" s="271">
        <f t="shared" si="78"/>
        <v>0</v>
      </c>
      <c r="AD123" s="271">
        <f t="shared" si="79"/>
        <v>0</v>
      </c>
      <c r="AE123" s="271">
        <f>AJ125</f>
        <v>0</v>
      </c>
      <c r="AF123" s="271">
        <f t="shared" si="80"/>
        <v>0</v>
      </c>
      <c r="AG123" s="271"/>
      <c r="AH123" s="265">
        <f t="shared" ref="AH123:AH135" si="85">AH122+1</f>
        <v>9</v>
      </c>
      <c r="AI123" s="265" t="s">
        <v>486</v>
      </c>
      <c r="AJ123" s="265"/>
      <c r="AK123" s="271"/>
      <c r="AL123" s="271"/>
      <c r="AM123" s="271">
        <f t="shared" si="81"/>
        <v>0</v>
      </c>
      <c r="AN123" s="271">
        <f t="shared" si="82"/>
        <v>0</v>
      </c>
      <c r="AO123" s="271">
        <f t="shared" si="83"/>
        <v>0</v>
      </c>
      <c r="AP123" s="271">
        <f t="shared" si="84"/>
        <v>0</v>
      </c>
      <c r="AQ123" s="271"/>
    </row>
    <row r="124" spans="19:52">
      <c r="X124" s="265"/>
      <c r="Y124" s="265" t="s">
        <v>221</v>
      </c>
      <c r="Z124" s="266" t="s">
        <v>180</v>
      </c>
      <c r="AA124" s="271">
        <v>0</v>
      </c>
      <c r="AB124" s="271">
        <v>0</v>
      </c>
      <c r="AC124" s="271">
        <f t="shared" si="78"/>
        <v>0</v>
      </c>
      <c r="AD124" s="271">
        <f t="shared" si="79"/>
        <v>0</v>
      </c>
      <c r="AE124" s="271">
        <v>0</v>
      </c>
      <c r="AF124" s="271">
        <f t="shared" si="80"/>
        <v>0</v>
      </c>
      <c r="AG124" s="271"/>
      <c r="AH124" s="265">
        <f t="shared" si="85"/>
        <v>10</v>
      </c>
      <c r="AI124" s="265" t="s">
        <v>119</v>
      </c>
      <c r="AJ124" s="266"/>
      <c r="AK124" s="271"/>
      <c r="AL124" s="271">
        <v>3025924.3</v>
      </c>
      <c r="AM124" s="271">
        <f t="shared" si="81"/>
        <v>3631109</v>
      </c>
      <c r="AN124" s="271">
        <f t="shared" si="82"/>
        <v>605185</v>
      </c>
      <c r="AO124" s="271">
        <f t="shared" si="83"/>
        <v>3025924</v>
      </c>
      <c r="AP124" s="271">
        <f t="shared" si="84"/>
        <v>-0.29999999981373549</v>
      </c>
      <c r="AQ124" s="271"/>
    </row>
    <row r="125" spans="19:52">
      <c r="X125" s="265"/>
      <c r="Y125" s="265" t="s">
        <v>488</v>
      </c>
      <c r="Z125" s="266" t="s">
        <v>180</v>
      </c>
      <c r="AA125" s="271">
        <v>0</v>
      </c>
      <c r="AB125" s="271">
        <v>0</v>
      </c>
      <c r="AC125" s="271">
        <f t="shared" si="78"/>
        <v>0</v>
      </c>
      <c r="AD125" s="271">
        <f t="shared" si="79"/>
        <v>0</v>
      </c>
      <c r="AE125" s="271">
        <f t="shared" ref="AE125" si="86">AJ125</f>
        <v>0</v>
      </c>
      <c r="AF125" s="271">
        <f t="shared" si="80"/>
        <v>0</v>
      </c>
      <c r="AG125" s="271"/>
      <c r="AH125" s="265">
        <f t="shared" si="85"/>
        <v>11</v>
      </c>
      <c r="AI125" s="265" t="s">
        <v>387</v>
      </c>
      <c r="AJ125" s="265"/>
      <c r="AK125" s="271"/>
      <c r="AL125" s="271"/>
      <c r="AM125" s="271">
        <f t="shared" si="81"/>
        <v>0</v>
      </c>
      <c r="AN125" s="271">
        <f t="shared" si="82"/>
        <v>0</v>
      </c>
      <c r="AO125" s="271">
        <f t="shared" si="83"/>
        <v>0</v>
      </c>
      <c r="AP125" s="271">
        <f t="shared" si="84"/>
        <v>0</v>
      </c>
      <c r="AQ125" s="271"/>
    </row>
    <row r="126" spans="19:52">
      <c r="S126" s="43"/>
      <c r="T126" s="43"/>
      <c r="U126" s="43"/>
      <c r="V126" s="43"/>
      <c r="W126" s="43"/>
      <c r="X126" s="46"/>
      <c r="Y126" s="46" t="s">
        <v>468</v>
      </c>
      <c r="Z126" s="46"/>
      <c r="AA126" s="91" t="e">
        <f>SUM(AA120:AA125)</f>
        <v>#VALUE!</v>
      </c>
      <c r="AB126" s="91">
        <f t="shared" ref="AB126:AG126" si="87">SUM(AB120:AB125)</f>
        <v>10412400.141999999</v>
      </c>
      <c r="AC126" s="91" t="e">
        <f t="shared" si="87"/>
        <v>#VALUE!</v>
      </c>
      <c r="AD126" s="91" t="e">
        <f t="shared" si="87"/>
        <v>#VALUE!</v>
      </c>
      <c r="AE126" s="91" t="e">
        <f t="shared" si="87"/>
        <v>#VALUE!</v>
      </c>
      <c r="AF126" s="91" t="e">
        <f t="shared" si="87"/>
        <v>#VALUE!</v>
      </c>
      <c r="AG126" s="91">
        <f t="shared" si="87"/>
        <v>0</v>
      </c>
      <c r="AH126" s="265">
        <f t="shared" si="85"/>
        <v>12</v>
      </c>
      <c r="AI126" s="265" t="s">
        <v>194</v>
      </c>
      <c r="AJ126" s="265"/>
      <c r="AK126" s="271"/>
      <c r="AL126" s="271"/>
      <c r="AM126" s="271">
        <f t="shared" si="81"/>
        <v>0</v>
      </c>
      <c r="AN126" s="271">
        <f t="shared" si="82"/>
        <v>0</v>
      </c>
      <c r="AO126" s="271">
        <f t="shared" si="83"/>
        <v>0</v>
      </c>
      <c r="AP126" s="271">
        <f t="shared" si="84"/>
        <v>0</v>
      </c>
      <c r="AQ126" s="271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9:52">
      <c r="X127" s="265">
        <v>3</v>
      </c>
      <c r="Y127" s="265" t="s">
        <v>469</v>
      </c>
      <c r="Z127" s="266" t="s">
        <v>180</v>
      </c>
      <c r="AA127" s="271" t="e">
        <f>[4]Хлоппродук!B115+[4]Хлоппродук!B116</f>
        <v>#REF!</v>
      </c>
      <c r="AB127" s="271">
        <v>7195138.1419999991</v>
      </c>
      <c r="AC127" s="271">
        <f>AB127</f>
        <v>7195138.1419999991</v>
      </c>
      <c r="AD127" s="271">
        <v>0</v>
      </c>
      <c r="AE127" s="271">
        <f>AC127</f>
        <v>7195138.1419999991</v>
      </c>
      <c r="AF127" s="271">
        <f>AE127-AB127</f>
        <v>0</v>
      </c>
      <c r="AG127" s="271"/>
      <c r="AH127" s="265">
        <f t="shared" si="85"/>
        <v>13</v>
      </c>
      <c r="AI127" s="265" t="s">
        <v>150</v>
      </c>
      <c r="AJ127" s="266" t="s">
        <v>180</v>
      </c>
      <c r="AK127" s="271">
        <v>42.2</v>
      </c>
      <c r="AL127" s="271">
        <v>42225</v>
      </c>
      <c r="AM127" s="271">
        <f t="shared" si="81"/>
        <v>50670</v>
      </c>
      <c r="AN127" s="271">
        <f t="shared" si="82"/>
        <v>8445</v>
      </c>
      <c r="AO127" s="271">
        <f t="shared" si="83"/>
        <v>42225</v>
      </c>
      <c r="AP127" s="271">
        <f t="shared" si="84"/>
        <v>0</v>
      </c>
      <c r="AQ127" s="271"/>
    </row>
    <row r="128" spans="19:52">
      <c r="S128" s="43"/>
      <c r="T128" s="43"/>
      <c r="U128" s="43"/>
      <c r="V128" s="43"/>
      <c r="W128" s="43"/>
      <c r="X128" s="46"/>
      <c r="Y128" s="46" t="s">
        <v>185</v>
      </c>
      <c r="Z128" s="46"/>
      <c r="AA128" s="91" t="e">
        <f t="shared" ref="AA128:AG128" si="88">SUM(AA127:AA127)</f>
        <v>#REF!</v>
      </c>
      <c r="AB128" s="91">
        <f t="shared" si="88"/>
        <v>7195138.1419999991</v>
      </c>
      <c r="AC128" s="91">
        <f t="shared" si="88"/>
        <v>7195138.1419999991</v>
      </c>
      <c r="AD128" s="91">
        <f t="shared" si="88"/>
        <v>0</v>
      </c>
      <c r="AE128" s="91">
        <f t="shared" si="88"/>
        <v>7195138.1419999991</v>
      </c>
      <c r="AF128" s="91">
        <f t="shared" si="88"/>
        <v>0</v>
      </c>
      <c r="AG128" s="91">
        <f t="shared" si="88"/>
        <v>0</v>
      </c>
      <c r="AH128" s="265">
        <f t="shared" si="85"/>
        <v>14</v>
      </c>
      <c r="AI128" s="265" t="s">
        <v>213</v>
      </c>
      <c r="AJ128" s="265"/>
      <c r="AK128" s="271"/>
      <c r="AL128" s="271"/>
      <c r="AM128" s="271">
        <f t="shared" si="81"/>
        <v>0</v>
      </c>
      <c r="AN128" s="271">
        <f t="shared" si="82"/>
        <v>0</v>
      </c>
      <c r="AO128" s="271">
        <f>AM128-AN128</f>
        <v>0</v>
      </c>
      <c r="AP128" s="271">
        <f t="shared" si="84"/>
        <v>0</v>
      </c>
      <c r="AQ128" s="271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9:52">
      <c r="X129" s="265">
        <v>4</v>
      </c>
      <c r="Y129" s="265" t="s">
        <v>249</v>
      </c>
      <c r="Z129" s="266" t="s">
        <v>180</v>
      </c>
      <c r="AA129" s="271"/>
      <c r="AB129" s="271"/>
      <c r="AC129" s="271"/>
      <c r="AD129" s="271"/>
      <c r="AE129" s="271"/>
      <c r="AF129" s="271">
        <f>AE129-AB129</f>
        <v>0</v>
      </c>
      <c r="AG129" s="271"/>
      <c r="AH129" s="265">
        <f t="shared" si="85"/>
        <v>15</v>
      </c>
      <c r="AI129" s="265" t="s">
        <v>467</v>
      </c>
      <c r="AJ129" s="265"/>
      <c r="AK129" s="271"/>
      <c r="AL129" s="271">
        <v>792203</v>
      </c>
      <c r="AM129" s="271">
        <f t="shared" si="81"/>
        <v>950644</v>
      </c>
      <c r="AN129" s="271">
        <f t="shared" si="82"/>
        <v>158441</v>
      </c>
      <c r="AO129" s="271">
        <f t="shared" ref="AO129" si="89">AM129-AN129</f>
        <v>792203</v>
      </c>
      <c r="AP129" s="271">
        <f>AO129-AL129</f>
        <v>0</v>
      </c>
      <c r="AQ129" s="271"/>
    </row>
    <row r="130" spans="19:52">
      <c r="X130" s="265"/>
      <c r="Y130" s="265" t="s">
        <v>374</v>
      </c>
      <c r="Z130" s="266" t="s">
        <v>180</v>
      </c>
      <c r="AA130" s="271">
        <v>339</v>
      </c>
      <c r="AB130" s="271">
        <f>AO130+AO131+AO132</f>
        <v>552980</v>
      </c>
      <c r="AC130" s="271">
        <f t="shared" ref="AC130" si="90">AD130+AE130</f>
        <v>0</v>
      </c>
      <c r="AD130" s="271">
        <f t="shared" ref="AD130" si="91">ROUND(AE130*0.2,0)</f>
        <v>0</v>
      </c>
      <c r="AE130" s="271">
        <f>AJ130</f>
        <v>0</v>
      </c>
      <c r="AF130" s="271">
        <f>AE130-AB130</f>
        <v>-552980</v>
      </c>
      <c r="AG130" s="271"/>
      <c r="AH130" s="265">
        <f t="shared" si="85"/>
        <v>16</v>
      </c>
      <c r="AI130" s="265" t="s">
        <v>862</v>
      </c>
      <c r="AJ130" s="265"/>
      <c r="AK130" s="271"/>
      <c r="AL130" s="271">
        <f>635927/1.15</f>
        <v>552980</v>
      </c>
      <c r="AM130" s="271">
        <f>AO130+AN130</f>
        <v>635927</v>
      </c>
      <c r="AN130" s="271">
        <f>AO130*0.15</f>
        <v>82947</v>
      </c>
      <c r="AO130" s="271">
        <f>635927/1.15</f>
        <v>552980</v>
      </c>
      <c r="AP130" s="271">
        <f t="shared" ref="AP130:AP135" si="92">AO130-AL130</f>
        <v>0</v>
      </c>
      <c r="AQ130" s="271"/>
    </row>
    <row r="131" spans="19:52">
      <c r="X131" s="265"/>
      <c r="Y131" s="265" t="s">
        <v>373</v>
      </c>
      <c r="Z131" s="266"/>
      <c r="AA131" s="271"/>
      <c r="AB131" s="271"/>
      <c r="AC131" s="271"/>
      <c r="AD131" s="271">
        <f>ROUND(AC131*20/120,0)</f>
        <v>0</v>
      </c>
      <c r="AE131" s="271">
        <f>AC131-AD131</f>
        <v>0</v>
      </c>
      <c r="AF131" s="271">
        <f>AE131-AB131</f>
        <v>0</v>
      </c>
      <c r="AG131" s="271"/>
      <c r="AH131" s="265">
        <f t="shared" si="85"/>
        <v>17</v>
      </c>
      <c r="AI131" s="265" t="s">
        <v>451</v>
      </c>
      <c r="AJ131" s="265"/>
      <c r="AK131" s="271"/>
      <c r="AL131" s="271"/>
      <c r="AM131" s="271">
        <f t="shared" ref="AM131:AM135" si="93">ROUND(+AL131*120%,0)</f>
        <v>0</v>
      </c>
      <c r="AN131" s="271">
        <f t="shared" ref="AN131:AN135" si="94">ROUND(AM131*20/120,0)</f>
        <v>0</v>
      </c>
      <c r="AO131" s="271">
        <f t="shared" ref="AO131:AO135" si="95">AM131-AN131</f>
        <v>0</v>
      </c>
      <c r="AP131" s="271">
        <f t="shared" si="92"/>
        <v>0</v>
      </c>
      <c r="AQ131" s="271"/>
    </row>
    <row r="132" spans="19:52">
      <c r="S132" s="43"/>
      <c r="T132" s="43"/>
      <c r="U132" s="43"/>
      <c r="V132" s="43"/>
      <c r="W132" s="43"/>
      <c r="X132" s="46"/>
      <c r="Y132" s="46" t="s">
        <v>250</v>
      </c>
      <c r="Z132" s="91"/>
      <c r="AA132" s="91">
        <f>SUM(AA129:AA131)</f>
        <v>339</v>
      </c>
      <c r="AB132" s="91">
        <f t="shared" ref="AB132:AG132" si="96">SUM(AB129:AB131)</f>
        <v>552980</v>
      </c>
      <c r="AC132" s="91">
        <f t="shared" si="96"/>
        <v>0</v>
      </c>
      <c r="AD132" s="91">
        <f t="shared" si="96"/>
        <v>0</v>
      </c>
      <c r="AE132" s="91">
        <f t="shared" si="96"/>
        <v>0</v>
      </c>
      <c r="AF132" s="91">
        <f t="shared" si="96"/>
        <v>-552980</v>
      </c>
      <c r="AG132" s="91">
        <f t="shared" si="96"/>
        <v>0</v>
      </c>
      <c r="AH132" s="265">
        <f t="shared" si="85"/>
        <v>18</v>
      </c>
      <c r="AI132" s="265" t="s">
        <v>460</v>
      </c>
      <c r="AJ132" s="265"/>
      <c r="AK132" s="271"/>
      <c r="AL132" s="271"/>
      <c r="AM132" s="271">
        <f t="shared" si="93"/>
        <v>0</v>
      </c>
      <c r="AN132" s="271">
        <f t="shared" si="94"/>
        <v>0</v>
      </c>
      <c r="AO132" s="271">
        <f t="shared" si="95"/>
        <v>0</v>
      </c>
      <c r="AP132" s="271">
        <f t="shared" si="92"/>
        <v>0</v>
      </c>
      <c r="AQ132" s="271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9:52">
      <c r="X133" s="265">
        <v>5</v>
      </c>
      <c r="Y133" s="265" t="s">
        <v>470</v>
      </c>
      <c r="Z133" s="266" t="s">
        <v>180</v>
      </c>
      <c r="AA133" s="271">
        <v>41.503999999999998</v>
      </c>
      <c r="AB133" s="271">
        <v>28925</v>
      </c>
      <c r="AC133" s="271">
        <f>ROUND(+AB133*120%,0)</f>
        <v>34710</v>
      </c>
      <c r="AD133" s="271">
        <f>ROUND(AC133*20/120,0)</f>
        <v>5785</v>
      </c>
      <c r="AE133" s="271">
        <f>AC133-AD133</f>
        <v>28925</v>
      </c>
      <c r="AF133" s="271">
        <f>AE133-AB133</f>
        <v>0</v>
      </c>
      <c r="AG133" s="271"/>
      <c r="AH133" s="265">
        <f t="shared" si="85"/>
        <v>19</v>
      </c>
      <c r="AI133" s="265" t="s">
        <v>461</v>
      </c>
      <c r="AJ133" s="265"/>
      <c r="AK133" s="271"/>
      <c r="AL133" s="271"/>
      <c r="AM133" s="271">
        <f t="shared" si="93"/>
        <v>0</v>
      </c>
      <c r="AN133" s="271">
        <f t="shared" si="94"/>
        <v>0</v>
      </c>
      <c r="AO133" s="271">
        <f t="shared" si="95"/>
        <v>0</v>
      </c>
      <c r="AP133" s="271">
        <f t="shared" si="92"/>
        <v>0</v>
      </c>
      <c r="AQ133" s="271"/>
    </row>
    <row r="134" spans="19:52">
      <c r="X134" s="265">
        <v>6</v>
      </c>
      <c r="Y134" s="265" t="s">
        <v>471</v>
      </c>
      <c r="Z134" s="266" t="s">
        <v>180</v>
      </c>
      <c r="AA134" s="271">
        <v>359</v>
      </c>
      <c r="AB134" s="271">
        <v>151828</v>
      </c>
      <c r="AC134" s="271">
        <f>ROUND(+AB134*120%,0)</f>
        <v>182194</v>
      </c>
      <c r="AD134" s="271">
        <f>ROUND(AC134*20/120,0)</f>
        <v>30366</v>
      </c>
      <c r="AE134" s="271">
        <f>AC134-AD134</f>
        <v>151828</v>
      </c>
      <c r="AF134" s="271">
        <f>AE134-AB134</f>
        <v>0</v>
      </c>
      <c r="AG134" s="271"/>
      <c r="AH134" s="265">
        <f t="shared" si="85"/>
        <v>20</v>
      </c>
      <c r="AI134" s="265" t="s">
        <v>448</v>
      </c>
      <c r="AJ134" s="266"/>
      <c r="AK134" s="271"/>
      <c r="AL134" s="271"/>
      <c r="AM134" s="271">
        <f t="shared" si="93"/>
        <v>0</v>
      </c>
      <c r="AN134" s="271">
        <f t="shared" si="94"/>
        <v>0</v>
      </c>
      <c r="AO134" s="271">
        <f t="shared" si="95"/>
        <v>0</v>
      </c>
      <c r="AP134" s="271">
        <f t="shared" si="92"/>
        <v>0</v>
      </c>
      <c r="AQ134" s="271"/>
    </row>
    <row r="135" spans="19:52">
      <c r="S135" s="43"/>
      <c r="T135" s="43"/>
      <c r="U135" s="43"/>
      <c r="V135" s="43"/>
      <c r="W135" s="43"/>
      <c r="X135" s="46"/>
      <c r="Y135" s="46" t="s">
        <v>384</v>
      </c>
      <c r="Z135" s="46"/>
      <c r="AA135" s="86" t="s">
        <v>65</v>
      </c>
      <c r="AB135" s="91" t="e">
        <f t="shared" ref="AB135:AG135" si="97">+AB119+AB126+AB128+AB132+AB133+AB134</f>
        <v>#VALUE!</v>
      </c>
      <c r="AC135" s="91" t="e">
        <f t="shared" si="97"/>
        <v>#VALUE!</v>
      </c>
      <c r="AD135" s="91" t="e">
        <f t="shared" si="97"/>
        <v>#VALUE!</v>
      </c>
      <c r="AE135" s="91" t="e">
        <f t="shared" si="97"/>
        <v>#VALUE!</v>
      </c>
      <c r="AF135" s="91" t="e">
        <f t="shared" si="97"/>
        <v>#VALUE!</v>
      </c>
      <c r="AG135" s="91">
        <f t="shared" si="97"/>
        <v>0</v>
      </c>
      <c r="AH135" s="265">
        <f t="shared" si="85"/>
        <v>21</v>
      </c>
      <c r="AI135" s="265" t="s">
        <v>204</v>
      </c>
      <c r="AJ135" s="265"/>
      <c r="AK135" s="271"/>
      <c r="AL135" s="271"/>
      <c r="AM135" s="271">
        <f t="shared" si="93"/>
        <v>0</v>
      </c>
      <c r="AN135" s="271">
        <f t="shared" si="94"/>
        <v>0</v>
      </c>
      <c r="AO135" s="271">
        <f t="shared" si="95"/>
        <v>0</v>
      </c>
      <c r="AP135" s="271">
        <f t="shared" si="92"/>
        <v>0</v>
      </c>
      <c r="AQ135" s="271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9:52">
      <c r="X136" s="265">
        <v>7</v>
      </c>
      <c r="Y136" s="265" t="s">
        <v>472</v>
      </c>
      <c r="Z136" s="265"/>
      <c r="AA136" s="271"/>
      <c r="AB136" s="271"/>
      <c r="AC136" s="271">
        <f t="shared" ref="AC136:AC144" si="98">ROUND(+AB136*120%,0)</f>
        <v>0</v>
      </c>
      <c r="AD136" s="271">
        <f t="shared" ref="AD136:AD144" si="99">ROUND(AC136*20/120,0)</f>
        <v>0</v>
      </c>
      <c r="AE136" s="271">
        <f t="shared" ref="AE136:AE142" si="100">AC136-AD136</f>
        <v>0</v>
      </c>
      <c r="AF136" s="271"/>
      <c r="AG136" s="271"/>
      <c r="AH136" s="265"/>
      <c r="AI136" s="46" t="s">
        <v>499</v>
      </c>
      <c r="AJ136" s="46"/>
      <c r="AK136" s="91">
        <f t="shared" ref="AK136:AQ136" si="101">AK121+AK122+AK123+AK124+AK127+AK128+AK129+AK130+AK131+AK132+AK133+AK134+AK135</f>
        <v>78.099999999999994</v>
      </c>
      <c r="AL136" s="91">
        <f t="shared" si="101"/>
        <v>4423917.3</v>
      </c>
      <c r="AM136" s="91">
        <f t="shared" si="101"/>
        <v>5281052</v>
      </c>
      <c r="AN136" s="91">
        <f t="shared" si="101"/>
        <v>857135</v>
      </c>
      <c r="AO136" s="91">
        <f t="shared" si="101"/>
        <v>4423917</v>
      </c>
      <c r="AP136" s="91">
        <f t="shared" si="101"/>
        <v>-0.29999999981373549</v>
      </c>
      <c r="AQ136" s="91">
        <f t="shared" si="101"/>
        <v>0</v>
      </c>
    </row>
    <row r="137" spans="19:52">
      <c r="X137" s="265">
        <f>X136+1</f>
        <v>8</v>
      </c>
      <c r="Y137" s="265" t="s">
        <v>479</v>
      </c>
      <c r="Z137" s="266" t="s">
        <v>180</v>
      </c>
      <c r="AA137" s="271">
        <v>35.9</v>
      </c>
      <c r="AB137" s="271">
        <v>10585</v>
      </c>
      <c r="AC137" s="271">
        <f t="shared" si="98"/>
        <v>12702</v>
      </c>
      <c r="AD137" s="271">
        <f t="shared" si="99"/>
        <v>2117</v>
      </c>
      <c r="AE137" s="271">
        <f t="shared" si="100"/>
        <v>10585</v>
      </c>
      <c r="AF137" s="271">
        <f t="shared" ref="AF137:AF143" si="102">AE137-AB137</f>
        <v>0</v>
      </c>
      <c r="AG137" s="271"/>
      <c r="AH137" s="265"/>
      <c r="AI137" s="46" t="s">
        <v>247</v>
      </c>
      <c r="AJ137" s="46"/>
      <c r="AK137" s="86" t="s">
        <v>65</v>
      </c>
      <c r="AL137" s="91">
        <f t="shared" ref="AL137:AQ137" si="103">AL120+AL136</f>
        <v>11799808.441999998</v>
      </c>
      <c r="AM137" s="91">
        <f t="shared" si="103"/>
        <v>19031416.141999997</v>
      </c>
      <c r="AN137" s="91">
        <f t="shared" si="103"/>
        <v>7231608</v>
      </c>
      <c r="AO137" s="91">
        <f t="shared" si="103"/>
        <v>11799808.141999999</v>
      </c>
      <c r="AP137" s="91">
        <f t="shared" si="103"/>
        <v>-0.29999999981373549</v>
      </c>
      <c r="AQ137" s="91">
        <f t="shared" si="103"/>
        <v>0</v>
      </c>
    </row>
    <row r="138" spans="19:52">
      <c r="X138" s="265">
        <f t="shared" ref="X138:X150" si="104">X137+1</f>
        <v>9</v>
      </c>
      <c r="Y138" s="265" t="s">
        <v>486</v>
      </c>
      <c r="Z138" s="265"/>
      <c r="AA138" s="271"/>
      <c r="AB138" s="271"/>
      <c r="AC138" s="271">
        <f t="shared" si="98"/>
        <v>0</v>
      </c>
      <c r="AD138" s="271">
        <f t="shared" si="99"/>
        <v>0</v>
      </c>
      <c r="AE138" s="271">
        <f t="shared" si="100"/>
        <v>0</v>
      </c>
      <c r="AF138" s="271">
        <f t="shared" si="102"/>
        <v>0</v>
      </c>
      <c r="AG138" s="271"/>
      <c r="AK138" s="226"/>
      <c r="AL138" s="226"/>
      <c r="AM138" s="226"/>
      <c r="AN138" s="226"/>
      <c r="AO138" s="226"/>
      <c r="AP138" s="226"/>
      <c r="AQ138" s="226"/>
    </row>
    <row r="139" spans="19:52" ht="15">
      <c r="X139" s="265">
        <f t="shared" si="104"/>
        <v>10</v>
      </c>
      <c r="Y139" s="265" t="s">
        <v>119</v>
      </c>
      <c r="Z139" s="266"/>
      <c r="AA139" s="271"/>
      <c r="AB139" s="271">
        <v>3025924.3</v>
      </c>
      <c r="AC139" s="271">
        <f t="shared" si="98"/>
        <v>3631109</v>
      </c>
      <c r="AD139" s="271">
        <f t="shared" si="99"/>
        <v>605185</v>
      </c>
      <c r="AE139" s="271">
        <f t="shared" si="100"/>
        <v>3025924</v>
      </c>
      <c r="AF139" s="271">
        <f t="shared" si="102"/>
        <v>-0.29999999981373549</v>
      </c>
      <c r="AG139" s="271"/>
      <c r="AI139" s="95" t="s">
        <v>366</v>
      </c>
      <c r="AK139" s="226"/>
      <c r="AL139" s="226"/>
      <c r="AM139" s="226"/>
      <c r="AN139" s="226"/>
      <c r="AO139" s="226"/>
      <c r="AP139" s="226"/>
      <c r="AQ139" s="226"/>
    </row>
    <row r="140" spans="19:52" ht="15">
      <c r="X140" s="265">
        <f t="shared" si="104"/>
        <v>11</v>
      </c>
      <c r="Y140" s="265" t="s">
        <v>387</v>
      </c>
      <c r="Z140" s="265"/>
      <c r="AA140" s="271"/>
      <c r="AB140" s="271"/>
      <c r="AC140" s="271">
        <f t="shared" si="98"/>
        <v>0</v>
      </c>
      <c r="AD140" s="271">
        <f t="shared" si="99"/>
        <v>0</v>
      </c>
      <c r="AE140" s="271">
        <f t="shared" si="100"/>
        <v>0</v>
      </c>
      <c r="AF140" s="271">
        <f t="shared" si="102"/>
        <v>0</v>
      </c>
      <c r="AG140" s="271"/>
      <c r="AI140" s="95" t="s">
        <v>336</v>
      </c>
      <c r="AL140" s="226"/>
      <c r="AM140" s="226"/>
      <c r="AN140" s="226"/>
      <c r="AO140" s="226"/>
      <c r="AP140" s="226"/>
      <c r="AQ140" s="226"/>
    </row>
    <row r="141" spans="19:52">
      <c r="X141" s="265">
        <f t="shared" si="104"/>
        <v>12</v>
      </c>
      <c r="Y141" s="265" t="s">
        <v>194</v>
      </c>
      <c r="Z141" s="265"/>
      <c r="AA141" s="271"/>
      <c r="AB141" s="271"/>
      <c r="AC141" s="271">
        <f t="shared" si="98"/>
        <v>0</v>
      </c>
      <c r="AD141" s="271">
        <f t="shared" si="99"/>
        <v>0</v>
      </c>
      <c r="AE141" s="271">
        <f t="shared" si="100"/>
        <v>0</v>
      </c>
      <c r="AF141" s="271">
        <f t="shared" si="102"/>
        <v>0</v>
      </c>
      <c r="AG141" s="271"/>
      <c r="AM141" s="226"/>
      <c r="AN141" s="460"/>
      <c r="AO141" s="226"/>
      <c r="AP141" s="226"/>
    </row>
    <row r="142" spans="19:52">
      <c r="X142" s="265">
        <f t="shared" si="104"/>
        <v>13</v>
      </c>
      <c r="Y142" s="265" t="s">
        <v>150</v>
      </c>
      <c r="Z142" s="266" t="s">
        <v>180</v>
      </c>
      <c r="AA142" s="271">
        <v>42.2</v>
      </c>
      <c r="AB142" s="271">
        <v>42225</v>
      </c>
      <c r="AC142" s="271">
        <f t="shared" si="98"/>
        <v>50670</v>
      </c>
      <c r="AD142" s="271">
        <f t="shared" si="99"/>
        <v>8445</v>
      </c>
      <c r="AE142" s="271">
        <f t="shared" si="100"/>
        <v>42225</v>
      </c>
      <c r="AF142" s="271">
        <f t="shared" si="102"/>
        <v>0</v>
      </c>
      <c r="AG142" s="271"/>
    </row>
    <row r="143" spans="19:52">
      <c r="X143" s="265">
        <f t="shared" si="104"/>
        <v>14</v>
      </c>
      <c r="Y143" s="265" t="s">
        <v>213</v>
      </c>
      <c r="Z143" s="265"/>
      <c r="AA143" s="271"/>
      <c r="AB143" s="271"/>
      <c r="AC143" s="271">
        <f t="shared" si="98"/>
        <v>0</v>
      </c>
      <c r="AD143" s="271">
        <f t="shared" si="99"/>
        <v>0</v>
      </c>
      <c r="AE143" s="271">
        <f>AC143-AD143</f>
        <v>0</v>
      </c>
      <c r="AF143" s="271">
        <f t="shared" si="102"/>
        <v>0</v>
      </c>
      <c r="AG143" s="271"/>
    </row>
    <row r="144" spans="19:52">
      <c r="X144" s="265">
        <f t="shared" si="104"/>
        <v>15</v>
      </c>
      <c r="Y144" s="265" t="s">
        <v>467</v>
      </c>
      <c r="Z144" s="265"/>
      <c r="AA144" s="271"/>
      <c r="AB144" s="271">
        <v>792203</v>
      </c>
      <c r="AC144" s="271">
        <f t="shared" si="98"/>
        <v>950644</v>
      </c>
      <c r="AD144" s="271">
        <f t="shared" si="99"/>
        <v>158441</v>
      </c>
      <c r="AE144" s="271">
        <f t="shared" ref="AE144" si="105">AC144-AD144</f>
        <v>792203</v>
      </c>
      <c r="AF144" s="271">
        <f>AE144-AB144</f>
        <v>0</v>
      </c>
      <c r="AG144" s="271"/>
    </row>
    <row r="145" spans="24:37">
      <c r="X145" s="265">
        <f t="shared" si="104"/>
        <v>16</v>
      </c>
      <c r="Y145" s="265" t="s">
        <v>862</v>
      </c>
      <c r="Z145" s="265"/>
      <c r="AA145" s="271"/>
      <c r="AB145" s="271">
        <f>635927/1.15</f>
        <v>552980</v>
      </c>
      <c r="AC145" s="271">
        <f>AE145+AD145</f>
        <v>635927</v>
      </c>
      <c r="AD145" s="271">
        <f>AE145*0.15</f>
        <v>82947</v>
      </c>
      <c r="AE145" s="271">
        <f>635927/1.15</f>
        <v>552980</v>
      </c>
      <c r="AF145" s="271">
        <f t="shared" ref="AF145:AF150" si="106">AE145-AB145</f>
        <v>0</v>
      </c>
      <c r="AG145" s="271"/>
    </row>
    <row r="146" spans="24:37">
      <c r="X146" s="265">
        <f t="shared" si="104"/>
        <v>17</v>
      </c>
      <c r="Y146" s="265" t="s">
        <v>451</v>
      </c>
      <c r="Z146" s="265"/>
      <c r="AA146" s="271"/>
      <c r="AB146" s="271"/>
      <c r="AC146" s="271">
        <f t="shared" ref="AC146:AC150" si="107">ROUND(+AB146*120%,0)</f>
        <v>0</v>
      </c>
      <c r="AD146" s="271">
        <f t="shared" ref="AD146:AD150" si="108">ROUND(AC146*20/120,0)</f>
        <v>0</v>
      </c>
      <c r="AE146" s="271">
        <f t="shared" ref="AE146:AE150" si="109">AC146-AD146</f>
        <v>0</v>
      </c>
      <c r="AF146" s="271">
        <f t="shared" si="106"/>
        <v>0</v>
      </c>
      <c r="AG146" s="271"/>
    </row>
    <row r="147" spans="24:37">
      <c r="X147" s="265">
        <f t="shared" si="104"/>
        <v>18</v>
      </c>
      <c r="Y147" s="265" t="s">
        <v>460</v>
      </c>
      <c r="Z147" s="265"/>
      <c r="AA147" s="271"/>
      <c r="AB147" s="271"/>
      <c r="AC147" s="271">
        <f t="shared" si="107"/>
        <v>0</v>
      </c>
      <c r="AD147" s="271">
        <f t="shared" si="108"/>
        <v>0</v>
      </c>
      <c r="AE147" s="271">
        <f t="shared" si="109"/>
        <v>0</v>
      </c>
      <c r="AF147" s="271">
        <f t="shared" si="106"/>
        <v>0</v>
      </c>
      <c r="AG147" s="271"/>
    </row>
    <row r="148" spans="24:37">
      <c r="X148" s="265">
        <f t="shared" si="104"/>
        <v>19</v>
      </c>
      <c r="Y148" s="265" t="s">
        <v>461</v>
      </c>
      <c r="Z148" s="265"/>
      <c r="AA148" s="271"/>
      <c r="AB148" s="271"/>
      <c r="AC148" s="271">
        <f t="shared" si="107"/>
        <v>0</v>
      </c>
      <c r="AD148" s="271">
        <f t="shared" si="108"/>
        <v>0</v>
      </c>
      <c r="AE148" s="271">
        <f t="shared" si="109"/>
        <v>0</v>
      </c>
      <c r="AF148" s="271">
        <f t="shared" si="106"/>
        <v>0</v>
      </c>
      <c r="AG148" s="271"/>
    </row>
    <row r="149" spans="24:37">
      <c r="X149" s="265">
        <f t="shared" si="104"/>
        <v>20</v>
      </c>
      <c r="Y149" s="265" t="s">
        <v>448</v>
      </c>
      <c r="Z149" s="266"/>
      <c r="AA149" s="271"/>
      <c r="AB149" s="271"/>
      <c r="AC149" s="271">
        <f t="shared" si="107"/>
        <v>0</v>
      </c>
      <c r="AD149" s="271">
        <f t="shared" si="108"/>
        <v>0</v>
      </c>
      <c r="AE149" s="271">
        <f t="shared" si="109"/>
        <v>0</v>
      </c>
      <c r="AF149" s="271">
        <f t="shared" si="106"/>
        <v>0</v>
      </c>
      <c r="AG149" s="271"/>
    </row>
    <row r="150" spans="24:37">
      <c r="X150" s="265">
        <f t="shared" si="104"/>
        <v>21</v>
      </c>
      <c r="Y150" s="265" t="s">
        <v>204</v>
      </c>
      <c r="Z150" s="265"/>
      <c r="AA150" s="271"/>
      <c r="AB150" s="271"/>
      <c r="AC150" s="271">
        <f t="shared" si="107"/>
        <v>0</v>
      </c>
      <c r="AD150" s="271">
        <f t="shared" si="108"/>
        <v>0</v>
      </c>
      <c r="AE150" s="271">
        <f t="shared" si="109"/>
        <v>0</v>
      </c>
      <c r="AF150" s="271">
        <f t="shared" si="106"/>
        <v>0</v>
      </c>
      <c r="AG150" s="271"/>
    </row>
    <row r="151" spans="24:37">
      <c r="X151" s="265"/>
      <c r="Y151" s="46" t="s">
        <v>499</v>
      </c>
      <c r="Z151" s="46"/>
      <c r="AA151" s="91">
        <f t="shared" ref="AA151:AG151" si="110">AA136+AA137+AA138+AA139+AA142+AA143+AA144+AA145+AA146+AA147+AA148+AA149+AA150</f>
        <v>78.099999999999994</v>
      </c>
      <c r="AB151" s="91">
        <f t="shared" si="110"/>
        <v>4423917.3</v>
      </c>
      <c r="AC151" s="91">
        <f t="shared" si="110"/>
        <v>5281052</v>
      </c>
      <c r="AD151" s="91">
        <f t="shared" si="110"/>
        <v>857135</v>
      </c>
      <c r="AE151" s="91">
        <f t="shared" si="110"/>
        <v>4423917</v>
      </c>
      <c r="AF151" s="91">
        <f t="shared" si="110"/>
        <v>-0.29999999981373549</v>
      </c>
      <c r="AG151" s="91">
        <f t="shared" si="110"/>
        <v>0</v>
      </c>
      <c r="AI151" s="271"/>
      <c r="AJ151" s="271"/>
      <c r="AK151" s="271">
        <f t="shared" ref="AK151:AK152" si="111">AE151-AJ151</f>
        <v>4423917</v>
      </c>
    </row>
    <row r="152" spans="24:37">
      <c r="X152" s="265"/>
      <c r="Y152" s="46" t="s">
        <v>247</v>
      </c>
      <c r="Z152" s="46"/>
      <c r="AA152" s="86" t="s">
        <v>65</v>
      </c>
      <c r="AB152" s="91" t="e">
        <f t="shared" ref="AB152:AG152" si="112">AB135+AB151</f>
        <v>#VALUE!</v>
      </c>
      <c r="AC152" s="91" t="e">
        <f t="shared" si="112"/>
        <v>#VALUE!</v>
      </c>
      <c r="AD152" s="91" t="e">
        <f t="shared" si="112"/>
        <v>#VALUE!</v>
      </c>
      <c r="AE152" s="91" t="e">
        <f t="shared" si="112"/>
        <v>#VALUE!</v>
      </c>
      <c r="AF152" s="91" t="e">
        <f t="shared" si="112"/>
        <v>#VALUE!</v>
      </c>
      <c r="AG152" s="91">
        <f t="shared" si="112"/>
        <v>0</v>
      </c>
      <c r="AI152" s="271"/>
      <c r="AJ152" s="271"/>
      <c r="AK152" s="271" t="e">
        <f t="shared" si="111"/>
        <v>#VALUE!</v>
      </c>
    </row>
    <row r="153" spans="24:37">
      <c r="AA153" s="226"/>
      <c r="AB153" s="226"/>
      <c r="AC153" s="226"/>
      <c r="AD153" s="226"/>
      <c r="AE153" s="226"/>
      <c r="AF153" s="226"/>
      <c r="AG153" s="226"/>
    </row>
    <row r="154" spans="24:37" ht="15">
      <c r="Y154" s="95" t="s">
        <v>366</v>
      </c>
      <c r="AA154" s="226"/>
      <c r="AB154" s="226"/>
      <c r="AC154" s="226"/>
      <c r="AD154" s="226"/>
      <c r="AE154" s="226"/>
      <c r="AF154" s="226"/>
      <c r="AG154" s="226"/>
    </row>
    <row r="155" spans="24:37" ht="15">
      <c r="Y155" s="95" t="s">
        <v>336</v>
      </c>
      <c r="AB155" s="226"/>
      <c r="AC155" s="226"/>
      <c r="AD155" s="226"/>
      <c r="AE155" s="226"/>
      <c r="AF155" s="226"/>
      <c r="AG155" s="226"/>
    </row>
    <row r="163" spans="31:40">
      <c r="AH163" s="226"/>
      <c r="AI163" s="226"/>
      <c r="AJ163" s="226"/>
      <c r="AK163" s="226"/>
      <c r="AL163" s="226" t="s">
        <v>358</v>
      </c>
      <c r="AM163" s="226"/>
    </row>
    <row r="164" spans="31:40" ht="15">
      <c r="AE164" s="481" t="s">
        <v>54</v>
      </c>
      <c r="AF164" s="481"/>
      <c r="AG164" s="481"/>
      <c r="AH164" s="481"/>
      <c r="AI164" s="481"/>
      <c r="AJ164" s="481"/>
      <c r="AK164" s="481"/>
      <c r="AL164" s="481"/>
      <c r="AM164" s="481"/>
      <c r="AN164" s="481"/>
    </row>
    <row r="165" spans="31:40" ht="15">
      <c r="AE165" s="481" t="s">
        <v>863</v>
      </c>
      <c r="AF165" s="481"/>
      <c r="AG165" s="481"/>
      <c r="AH165" s="481"/>
      <c r="AI165" s="481"/>
      <c r="AJ165" s="481"/>
      <c r="AK165" s="481"/>
      <c r="AL165" s="481"/>
      <c r="AM165" s="481"/>
      <c r="AN165" s="481"/>
    </row>
    <row r="167" spans="31:40">
      <c r="AE167" s="482" t="s">
        <v>375</v>
      </c>
      <c r="AF167" s="482" t="s">
        <v>376</v>
      </c>
      <c r="AG167" s="482" t="s">
        <v>377</v>
      </c>
      <c r="AH167" s="482" t="s">
        <v>378</v>
      </c>
      <c r="AI167" s="482" t="s">
        <v>379</v>
      </c>
      <c r="AJ167" s="482" t="s">
        <v>382</v>
      </c>
      <c r="AK167" s="482" t="s">
        <v>66</v>
      </c>
      <c r="AL167" s="482" t="s">
        <v>380</v>
      </c>
      <c r="AM167" s="482" t="s">
        <v>381</v>
      </c>
      <c r="AN167" s="482"/>
    </row>
    <row r="168" spans="31:40" ht="38.25">
      <c r="AE168" s="482"/>
      <c r="AF168" s="482"/>
      <c r="AG168" s="482"/>
      <c r="AH168" s="482"/>
      <c r="AI168" s="482"/>
      <c r="AJ168" s="482"/>
      <c r="AK168" s="482"/>
      <c r="AL168" s="482"/>
      <c r="AM168" s="459" t="s">
        <v>239</v>
      </c>
      <c r="AN168" s="459" t="s">
        <v>240</v>
      </c>
    </row>
    <row r="169" spans="31:40">
      <c r="AE169" s="461">
        <v>1</v>
      </c>
      <c r="AF169" s="461">
        <v>2</v>
      </c>
      <c r="AG169" s="461">
        <v>3</v>
      </c>
      <c r="AH169" s="461">
        <v>4</v>
      </c>
      <c r="AI169" s="461">
        <v>5</v>
      </c>
      <c r="AJ169" s="461">
        <v>6</v>
      </c>
      <c r="AK169" s="461">
        <v>7</v>
      </c>
      <c r="AL169" s="461">
        <v>8</v>
      </c>
      <c r="AM169" s="461">
        <v>9</v>
      </c>
      <c r="AN169" s="461">
        <v>10</v>
      </c>
    </row>
    <row r="170" spans="31:40">
      <c r="AE170" s="265">
        <v>1</v>
      </c>
      <c r="AF170" s="265" t="s">
        <v>428</v>
      </c>
      <c r="AG170" s="266" t="s">
        <v>180</v>
      </c>
      <c r="AH170" s="271">
        <f>AP170</f>
        <v>0</v>
      </c>
      <c r="AI170" s="271">
        <f>ROUND(AL170*93%,0)</f>
        <v>0</v>
      </c>
      <c r="AJ170" s="271">
        <f>AK170+AL170</f>
        <v>0</v>
      </c>
      <c r="AK170" s="271"/>
      <c r="AL170" s="271">
        <f>AQ170</f>
        <v>0</v>
      </c>
      <c r="AM170" s="271">
        <f>AL170-AI170</f>
        <v>0</v>
      </c>
      <c r="AN170" s="271"/>
    </row>
    <row r="171" spans="31:40">
      <c r="AE171" s="265"/>
      <c r="AF171" s="265" t="s">
        <v>449</v>
      </c>
      <c r="AG171" s="266" t="s">
        <v>180</v>
      </c>
      <c r="AH171" s="271"/>
      <c r="AI171" s="271">
        <f t="shared" ref="AI171:AI174" si="113">ROUND(AL171*98%,0)</f>
        <v>0</v>
      </c>
      <c r="AJ171" s="271">
        <f t="shared" ref="AJ171:AJ174" si="114">AK171+AL171</f>
        <v>0</v>
      </c>
      <c r="AK171" s="271"/>
      <c r="AL171" s="271">
        <f>AQ171</f>
        <v>0</v>
      </c>
      <c r="AM171" s="271">
        <f>AL171-AI171</f>
        <v>0</v>
      </c>
      <c r="AN171" s="271"/>
    </row>
    <row r="172" spans="31:40">
      <c r="AE172" s="265"/>
      <c r="AF172" s="265" t="s">
        <v>179</v>
      </c>
      <c r="AG172" s="266" t="s">
        <v>180</v>
      </c>
      <c r="AH172" s="271"/>
      <c r="AI172" s="271">
        <f t="shared" si="113"/>
        <v>0</v>
      </c>
      <c r="AJ172" s="271">
        <f t="shared" si="114"/>
        <v>0</v>
      </c>
      <c r="AK172" s="271"/>
      <c r="AL172" s="271">
        <f t="shared" ref="AL172:AL174" si="115">AQ172</f>
        <v>0</v>
      </c>
      <c r="AM172" s="271">
        <f>AL172-AI172</f>
        <v>0</v>
      </c>
      <c r="AN172" s="271"/>
    </row>
    <row r="173" spans="31:40">
      <c r="AE173" s="265"/>
      <c r="AF173" s="265" t="s">
        <v>345</v>
      </c>
      <c r="AG173" s="266" t="s">
        <v>180</v>
      </c>
      <c r="AH173" s="271"/>
      <c r="AI173" s="271">
        <f t="shared" si="113"/>
        <v>0</v>
      </c>
      <c r="AJ173" s="271">
        <f t="shared" si="114"/>
        <v>0</v>
      </c>
      <c r="AK173" s="271"/>
      <c r="AL173" s="271">
        <f t="shared" si="115"/>
        <v>0</v>
      </c>
      <c r="AM173" s="271">
        <f>AL173-AI173</f>
        <v>0</v>
      </c>
      <c r="AN173" s="271"/>
    </row>
    <row r="174" spans="31:40">
      <c r="AE174" s="265"/>
      <c r="AF174" s="265" t="s">
        <v>37</v>
      </c>
      <c r="AG174" s="266" t="s">
        <v>180</v>
      </c>
      <c r="AH174" s="271"/>
      <c r="AI174" s="271">
        <f t="shared" si="113"/>
        <v>0</v>
      </c>
      <c r="AJ174" s="271">
        <f t="shared" si="114"/>
        <v>0</v>
      </c>
      <c r="AK174" s="271"/>
      <c r="AL174" s="271">
        <f t="shared" si="115"/>
        <v>0</v>
      </c>
      <c r="AM174" s="271">
        <f>AL174-AI174</f>
        <v>0</v>
      </c>
      <c r="AN174" s="271"/>
    </row>
    <row r="175" spans="31:40">
      <c r="AE175" s="46"/>
      <c r="AF175" s="46" t="s">
        <v>17</v>
      </c>
      <c r="AG175" s="115"/>
      <c r="AH175" s="91">
        <f>SUM(AH170:AH174)</f>
        <v>0</v>
      </c>
      <c r="AI175" s="91">
        <f t="shared" ref="AI175:AN175" si="116">SUM(AI170:AI174)</f>
        <v>0</v>
      </c>
      <c r="AJ175" s="91">
        <f t="shared" si="116"/>
        <v>0</v>
      </c>
      <c r="AK175" s="91">
        <f t="shared" si="116"/>
        <v>0</v>
      </c>
      <c r="AL175" s="91">
        <f t="shared" si="116"/>
        <v>0</v>
      </c>
      <c r="AM175" s="91">
        <f t="shared" si="116"/>
        <v>0</v>
      </c>
      <c r="AN175" s="91">
        <f t="shared" si="116"/>
        <v>0</v>
      </c>
    </row>
    <row r="176" spans="31:40">
      <c r="AE176" s="265">
        <v>1</v>
      </c>
      <c r="AF176" s="265" t="s">
        <v>485</v>
      </c>
      <c r="AG176" s="266" t="s">
        <v>180</v>
      </c>
      <c r="AH176" s="271">
        <f>AP176+AS176</f>
        <v>0</v>
      </c>
      <c r="AI176" s="271">
        <f>ROUND(AL176*93%,0)</f>
        <v>0</v>
      </c>
      <c r="AJ176" s="271">
        <f t="shared" ref="AJ176:AJ180" si="117">AK176+AL176</f>
        <v>3842690</v>
      </c>
      <c r="AK176" s="271">
        <f>3842690+AU176</f>
        <v>3842690</v>
      </c>
      <c r="AL176" s="271">
        <f>AQ176+AT176</f>
        <v>0</v>
      </c>
      <c r="AM176" s="271">
        <f>AL176-AI176</f>
        <v>0</v>
      </c>
      <c r="AN176" s="271"/>
    </row>
    <row r="177" spans="31:40">
      <c r="AE177" s="265"/>
      <c r="AF177" s="265" t="s">
        <v>449</v>
      </c>
      <c r="AG177" s="266" t="s">
        <v>180</v>
      </c>
      <c r="AH177" s="271">
        <f t="shared" ref="AH177:AH180" si="118">AP177+AS177</f>
        <v>0</v>
      </c>
      <c r="AI177" s="271">
        <f>ROUND(AL177*94%,0)</f>
        <v>0</v>
      </c>
      <c r="AJ177" s="271">
        <f t="shared" si="117"/>
        <v>1748016</v>
      </c>
      <c r="AK177" s="271">
        <f>1748016+AU177</f>
        <v>1748016</v>
      </c>
      <c r="AL177" s="271">
        <f t="shared" ref="AL177:AL180" si="119">AQ177+AT177</f>
        <v>0</v>
      </c>
      <c r="AM177" s="271">
        <f>AL177-AI177</f>
        <v>0</v>
      </c>
      <c r="AN177" s="271"/>
    </row>
    <row r="178" spans="31:40">
      <c r="AE178" s="265"/>
      <c r="AF178" s="265" t="s">
        <v>179</v>
      </c>
      <c r="AG178" s="266" t="s">
        <v>180</v>
      </c>
      <c r="AH178" s="271">
        <f t="shared" si="118"/>
        <v>0</v>
      </c>
      <c r="AI178" s="271">
        <f>ROUND(AL178*96%,0)</f>
        <v>0</v>
      </c>
      <c r="AJ178" s="271">
        <f t="shared" si="117"/>
        <v>244910</v>
      </c>
      <c r="AK178" s="271">
        <f>244910+AU178</f>
        <v>244910</v>
      </c>
      <c r="AL178" s="271">
        <f t="shared" si="119"/>
        <v>0</v>
      </c>
      <c r="AM178" s="271">
        <f>AL178-AI178</f>
        <v>0</v>
      </c>
      <c r="AN178" s="271"/>
    </row>
    <row r="179" spans="31:40">
      <c r="AE179" s="265"/>
      <c r="AF179" s="265" t="s">
        <v>345</v>
      </c>
      <c r="AG179" s="266" t="s">
        <v>180</v>
      </c>
      <c r="AH179" s="271">
        <f t="shared" si="118"/>
        <v>0</v>
      </c>
      <c r="AI179" s="271">
        <f t="shared" ref="AI179:AI180" si="120">ROUND(AL179*98%,0)</f>
        <v>0</v>
      </c>
      <c r="AJ179" s="271">
        <f t="shared" si="117"/>
        <v>0</v>
      </c>
      <c r="AK179" s="271">
        <v>0</v>
      </c>
      <c r="AL179" s="271">
        <f t="shared" si="119"/>
        <v>0</v>
      </c>
      <c r="AM179" s="271">
        <f>AL179-AI179</f>
        <v>0</v>
      </c>
      <c r="AN179" s="271"/>
    </row>
    <row r="180" spans="31:40">
      <c r="AE180" s="265"/>
      <c r="AF180" s="265" t="s">
        <v>37</v>
      </c>
      <c r="AG180" s="266" t="s">
        <v>180</v>
      </c>
      <c r="AH180" s="271">
        <f t="shared" si="118"/>
        <v>0</v>
      </c>
      <c r="AI180" s="271">
        <f t="shared" si="120"/>
        <v>0</v>
      </c>
      <c r="AJ180" s="271">
        <f t="shared" si="117"/>
        <v>502706</v>
      </c>
      <c r="AK180" s="271">
        <f>502706+AU180</f>
        <v>502706</v>
      </c>
      <c r="AL180" s="271">
        <f t="shared" si="119"/>
        <v>0</v>
      </c>
      <c r="AM180" s="271">
        <f>AL180-AI180</f>
        <v>0</v>
      </c>
      <c r="AN180" s="271"/>
    </row>
    <row r="181" spans="31:40">
      <c r="AE181" s="46"/>
      <c r="AF181" s="46" t="s">
        <v>17</v>
      </c>
      <c r="AG181" s="115"/>
      <c r="AH181" s="91">
        <f t="shared" ref="AH181:AN181" si="121">SUM(AH176:AH180)</f>
        <v>0</v>
      </c>
      <c r="AI181" s="91">
        <f t="shared" si="121"/>
        <v>0</v>
      </c>
      <c r="AJ181" s="91">
        <f t="shared" si="121"/>
        <v>6338322</v>
      </c>
      <c r="AK181" s="91">
        <f t="shared" si="121"/>
        <v>6338322</v>
      </c>
      <c r="AL181" s="91">
        <f t="shared" si="121"/>
        <v>0</v>
      </c>
      <c r="AM181" s="91">
        <f t="shared" si="121"/>
        <v>0</v>
      </c>
      <c r="AN181" s="91">
        <f t="shared" si="121"/>
        <v>0</v>
      </c>
    </row>
    <row r="182" spans="31:40">
      <c r="AE182" s="265">
        <v>1</v>
      </c>
      <c r="AF182" s="265" t="s">
        <v>248</v>
      </c>
      <c r="AG182" s="266" t="s">
        <v>180</v>
      </c>
      <c r="AH182" s="271">
        <f t="shared" ref="AH182:AN182" si="122">+AH170+AH176</f>
        <v>0</v>
      </c>
      <c r="AI182" s="271">
        <f t="shared" si="122"/>
        <v>0</v>
      </c>
      <c r="AJ182" s="271">
        <f t="shared" si="122"/>
        <v>3842690</v>
      </c>
      <c r="AK182" s="271">
        <f t="shared" si="122"/>
        <v>3842690</v>
      </c>
      <c r="AL182" s="271">
        <f t="shared" si="122"/>
        <v>0</v>
      </c>
      <c r="AM182" s="271">
        <f t="shared" si="122"/>
        <v>0</v>
      </c>
      <c r="AN182" s="271">
        <f t="shared" si="122"/>
        <v>0</v>
      </c>
    </row>
    <row r="183" spans="31:40">
      <c r="AE183" s="265"/>
      <c r="AF183" s="265" t="s">
        <v>449</v>
      </c>
      <c r="AG183" s="266" t="s">
        <v>180</v>
      </c>
      <c r="AH183" s="271">
        <f t="shared" ref="AH183:AN183" si="123">+AH171+AH177</f>
        <v>0</v>
      </c>
      <c r="AI183" s="271">
        <f t="shared" si="123"/>
        <v>0</v>
      </c>
      <c r="AJ183" s="271">
        <f t="shared" si="123"/>
        <v>1748016</v>
      </c>
      <c r="AK183" s="271">
        <f t="shared" si="123"/>
        <v>1748016</v>
      </c>
      <c r="AL183" s="271">
        <f t="shared" si="123"/>
        <v>0</v>
      </c>
      <c r="AM183" s="271">
        <f t="shared" si="123"/>
        <v>0</v>
      </c>
      <c r="AN183" s="271">
        <f t="shared" si="123"/>
        <v>0</v>
      </c>
    </row>
    <row r="184" spans="31:40">
      <c r="AE184" s="265"/>
      <c r="AF184" s="265" t="s">
        <v>179</v>
      </c>
      <c r="AG184" s="266" t="s">
        <v>180</v>
      </c>
      <c r="AH184" s="271">
        <f t="shared" ref="AH184:AN184" si="124">+AH172+AH178</f>
        <v>0</v>
      </c>
      <c r="AI184" s="271">
        <f t="shared" si="124"/>
        <v>0</v>
      </c>
      <c r="AJ184" s="271">
        <f t="shared" si="124"/>
        <v>244910</v>
      </c>
      <c r="AK184" s="271">
        <f t="shared" si="124"/>
        <v>244910</v>
      </c>
      <c r="AL184" s="271">
        <f t="shared" si="124"/>
        <v>0</v>
      </c>
      <c r="AM184" s="271">
        <f t="shared" si="124"/>
        <v>0</v>
      </c>
      <c r="AN184" s="271">
        <f t="shared" si="124"/>
        <v>0</v>
      </c>
    </row>
    <row r="185" spans="31:40">
      <c r="AE185" s="265"/>
      <c r="AF185" s="265" t="s">
        <v>345</v>
      </c>
      <c r="AG185" s="266" t="s">
        <v>180</v>
      </c>
      <c r="AH185" s="271">
        <f t="shared" ref="AH185:AN185" si="125">+AH173+AH179</f>
        <v>0</v>
      </c>
      <c r="AI185" s="271">
        <f t="shared" si="125"/>
        <v>0</v>
      </c>
      <c r="AJ185" s="271">
        <f t="shared" si="125"/>
        <v>0</v>
      </c>
      <c r="AK185" s="271">
        <f t="shared" si="125"/>
        <v>0</v>
      </c>
      <c r="AL185" s="271">
        <f t="shared" si="125"/>
        <v>0</v>
      </c>
      <c r="AM185" s="271">
        <f t="shared" si="125"/>
        <v>0</v>
      </c>
      <c r="AN185" s="271">
        <f t="shared" si="125"/>
        <v>0</v>
      </c>
    </row>
    <row r="186" spans="31:40">
      <c r="AE186" s="265"/>
      <c r="AF186" s="265" t="s">
        <v>37</v>
      </c>
      <c r="AG186" s="266" t="s">
        <v>180</v>
      </c>
      <c r="AH186" s="271">
        <f t="shared" ref="AH186:AN186" si="126">+AH174+AH180</f>
        <v>0</v>
      </c>
      <c r="AI186" s="271">
        <f t="shared" si="126"/>
        <v>0</v>
      </c>
      <c r="AJ186" s="271">
        <f t="shared" si="126"/>
        <v>502706</v>
      </c>
      <c r="AK186" s="271">
        <f t="shared" si="126"/>
        <v>502706</v>
      </c>
      <c r="AL186" s="271">
        <f t="shared" si="126"/>
        <v>0</v>
      </c>
      <c r="AM186" s="271">
        <f t="shared" si="126"/>
        <v>0</v>
      </c>
      <c r="AN186" s="271">
        <f t="shared" si="126"/>
        <v>0</v>
      </c>
    </row>
    <row r="187" spans="31:40">
      <c r="AE187" s="46"/>
      <c r="AF187" s="46" t="s">
        <v>17</v>
      </c>
      <c r="AG187" s="115"/>
      <c r="AH187" s="91">
        <f t="shared" ref="AH187" si="127">SUM(AH182:AH186)</f>
        <v>0</v>
      </c>
      <c r="AI187" s="91">
        <f>SUM(AI182:AI186)</f>
        <v>0</v>
      </c>
      <c r="AJ187" s="91">
        <f t="shared" ref="AJ187:AN187" si="128">SUM(AJ182:AJ186)</f>
        <v>6338322</v>
      </c>
      <c r="AK187" s="91">
        <f t="shared" si="128"/>
        <v>6338322</v>
      </c>
      <c r="AL187" s="91">
        <f t="shared" si="128"/>
        <v>0</v>
      </c>
      <c r="AM187" s="91">
        <f t="shared" si="128"/>
        <v>0</v>
      </c>
      <c r="AN187" s="91">
        <f t="shared" si="128"/>
        <v>0</v>
      </c>
    </row>
    <row r="188" spans="31:40">
      <c r="AE188" s="265">
        <v>2</v>
      </c>
      <c r="AF188" s="265" t="s">
        <v>18</v>
      </c>
      <c r="AG188" s="266" t="s">
        <v>180</v>
      </c>
      <c r="AH188" s="271">
        <f>AP188+AP189</f>
        <v>0</v>
      </c>
      <c r="AI188" s="271">
        <f>AV188+AV189</f>
        <v>0</v>
      </c>
      <c r="AJ188" s="271">
        <f>AK188+AL188</f>
        <v>0</v>
      </c>
      <c r="AK188" s="271">
        <f>ROUND(AL188*0.2,0)</f>
        <v>0</v>
      </c>
      <c r="AL188" s="271">
        <f>AQ188+AQ189</f>
        <v>0</v>
      </c>
      <c r="AM188" s="271">
        <f>AL188-AI188</f>
        <v>0</v>
      </c>
      <c r="AN188" s="271"/>
    </row>
    <row r="189" spans="31:40">
      <c r="AE189" s="265"/>
      <c r="AF189" s="265" t="s">
        <v>224</v>
      </c>
      <c r="AG189" s="266" t="s">
        <v>180</v>
      </c>
      <c r="AH189" s="271">
        <f>AP190+AP191</f>
        <v>0</v>
      </c>
      <c r="AI189" s="271">
        <f>AV190+AV191</f>
        <v>0</v>
      </c>
      <c r="AJ189" s="271">
        <f t="shared" ref="AJ189:AJ193" si="129">AK189+AL189</f>
        <v>0</v>
      </c>
      <c r="AK189" s="271">
        <f t="shared" ref="AK189:AK193" si="130">ROUND(AL189*0.2,0)</f>
        <v>0</v>
      </c>
      <c r="AL189" s="271">
        <f>AQ190+AQ191</f>
        <v>0</v>
      </c>
      <c r="AM189" s="271">
        <f t="shared" ref="AM189:AM193" si="131">AL189-AI189</f>
        <v>0</v>
      </c>
      <c r="AN189" s="271"/>
    </row>
    <row r="190" spans="31:40">
      <c r="AE190" s="265"/>
      <c r="AF190" s="265" t="s">
        <v>72</v>
      </c>
      <c r="AG190" s="266" t="s">
        <v>180</v>
      </c>
      <c r="AH190" s="271">
        <f>AP192</f>
        <v>0</v>
      </c>
      <c r="AI190" s="271">
        <f>AV192</f>
        <v>0</v>
      </c>
      <c r="AJ190" s="271">
        <f t="shared" si="129"/>
        <v>0</v>
      </c>
      <c r="AK190" s="271">
        <f t="shared" si="130"/>
        <v>0</v>
      </c>
      <c r="AL190" s="271">
        <f>AQ192</f>
        <v>0</v>
      </c>
      <c r="AM190" s="271">
        <f t="shared" si="131"/>
        <v>0</v>
      </c>
      <c r="AN190" s="271"/>
    </row>
    <row r="191" spans="31:40">
      <c r="AE191" s="265"/>
      <c r="AF191" s="265" t="s">
        <v>245</v>
      </c>
      <c r="AG191" s="266" t="s">
        <v>180</v>
      </c>
      <c r="AH191" s="271">
        <f>AP193</f>
        <v>0</v>
      </c>
      <c r="AI191" s="271">
        <v>0</v>
      </c>
      <c r="AJ191" s="271">
        <f t="shared" si="129"/>
        <v>0</v>
      </c>
      <c r="AK191" s="271">
        <f t="shared" si="130"/>
        <v>0</v>
      </c>
      <c r="AL191" s="271">
        <f>AQ193</f>
        <v>0</v>
      </c>
      <c r="AM191" s="271">
        <f t="shared" si="131"/>
        <v>0</v>
      </c>
      <c r="AN191" s="271"/>
    </row>
    <row r="192" spans="31:40">
      <c r="AE192" s="265"/>
      <c r="AF192" s="265" t="s">
        <v>221</v>
      </c>
      <c r="AG192" s="266" t="s">
        <v>180</v>
      </c>
      <c r="AH192" s="271">
        <v>0</v>
      </c>
      <c r="AI192" s="271">
        <v>0</v>
      </c>
      <c r="AJ192" s="271">
        <f t="shared" si="129"/>
        <v>0</v>
      </c>
      <c r="AK192" s="271">
        <f t="shared" si="130"/>
        <v>0</v>
      </c>
      <c r="AL192" s="271">
        <v>0</v>
      </c>
      <c r="AM192" s="271">
        <f t="shared" si="131"/>
        <v>0</v>
      </c>
      <c r="AN192" s="271"/>
    </row>
    <row r="193" spans="31:40">
      <c r="AE193" s="265"/>
      <c r="AF193" s="265" t="s">
        <v>488</v>
      </c>
      <c r="AG193" s="266" t="s">
        <v>180</v>
      </c>
      <c r="AH193" s="271">
        <v>0</v>
      </c>
      <c r="AI193" s="271">
        <v>0</v>
      </c>
      <c r="AJ193" s="271">
        <f t="shared" si="129"/>
        <v>0</v>
      </c>
      <c r="AK193" s="271">
        <f t="shared" si="130"/>
        <v>0</v>
      </c>
      <c r="AL193" s="271">
        <f t="shared" ref="AL193" si="132">AQ193</f>
        <v>0</v>
      </c>
      <c r="AM193" s="271">
        <f t="shared" si="131"/>
        <v>0</v>
      </c>
      <c r="AN193" s="271"/>
    </row>
    <row r="194" spans="31:40">
      <c r="AE194" s="46"/>
      <c r="AF194" s="46" t="s">
        <v>468</v>
      </c>
      <c r="AG194" s="46"/>
      <c r="AH194" s="91">
        <f>SUM(AH188:AH193)</f>
        <v>0</v>
      </c>
      <c r="AI194" s="91">
        <f t="shared" ref="AI194:AN194" si="133">SUM(AI188:AI193)</f>
        <v>0</v>
      </c>
      <c r="AJ194" s="91">
        <f t="shared" si="133"/>
        <v>0</v>
      </c>
      <c r="AK194" s="91">
        <f t="shared" si="133"/>
        <v>0</v>
      </c>
      <c r="AL194" s="91">
        <f t="shared" si="133"/>
        <v>0</v>
      </c>
      <c r="AM194" s="91">
        <f t="shared" si="133"/>
        <v>0</v>
      </c>
      <c r="AN194" s="91">
        <f t="shared" si="133"/>
        <v>0</v>
      </c>
    </row>
    <row r="195" spans="31:40">
      <c r="AE195" s="265">
        <v>3</v>
      </c>
      <c r="AF195" s="265" t="s">
        <v>469</v>
      </c>
      <c r="AG195" s="266" t="s">
        <v>180</v>
      </c>
      <c r="AH195" s="271" t="e">
        <f>[4]Хлоппродук!I183+[4]Хлоппродук!I184</f>
        <v>#REF!</v>
      </c>
      <c r="AI195" s="271">
        <v>7195138.1419999991</v>
      </c>
      <c r="AJ195" s="271">
        <f>AI195</f>
        <v>7195138.1419999991</v>
      </c>
      <c r="AK195" s="271">
        <v>0</v>
      </c>
      <c r="AL195" s="271">
        <f>AJ195</f>
        <v>7195138.1419999991</v>
      </c>
      <c r="AM195" s="271">
        <f>AL195-AI195</f>
        <v>0</v>
      </c>
      <c r="AN195" s="271"/>
    </row>
    <row r="196" spans="31:40">
      <c r="AE196" s="46"/>
      <c r="AF196" s="46" t="s">
        <v>185</v>
      </c>
      <c r="AG196" s="46"/>
      <c r="AH196" s="91" t="e">
        <f t="shared" ref="AH196:AN196" si="134">SUM(AH195:AH195)</f>
        <v>#REF!</v>
      </c>
      <c r="AI196" s="91">
        <f t="shared" si="134"/>
        <v>7195138.1419999991</v>
      </c>
      <c r="AJ196" s="91">
        <f t="shared" si="134"/>
        <v>7195138.1419999991</v>
      </c>
      <c r="AK196" s="91">
        <f t="shared" si="134"/>
        <v>0</v>
      </c>
      <c r="AL196" s="91">
        <f t="shared" si="134"/>
        <v>7195138.1419999991</v>
      </c>
      <c r="AM196" s="91">
        <f t="shared" si="134"/>
        <v>0</v>
      </c>
      <c r="AN196" s="91">
        <f t="shared" si="134"/>
        <v>0</v>
      </c>
    </row>
    <row r="197" spans="31:40">
      <c r="AE197" s="265">
        <v>4</v>
      </c>
      <c r="AF197" s="265" t="s">
        <v>249</v>
      </c>
      <c r="AG197" s="266" t="s">
        <v>180</v>
      </c>
      <c r="AH197" s="271"/>
      <c r="AI197" s="271"/>
      <c r="AJ197" s="271"/>
      <c r="AK197" s="271"/>
      <c r="AL197" s="271"/>
      <c r="AM197" s="271">
        <f>AL197-AI197</f>
        <v>0</v>
      </c>
      <c r="AN197" s="271"/>
    </row>
    <row r="198" spans="31:40">
      <c r="AE198" s="265"/>
      <c r="AF198" s="265" t="s">
        <v>374</v>
      </c>
      <c r="AG198" s="266" t="s">
        <v>180</v>
      </c>
      <c r="AH198" s="271">
        <v>339</v>
      </c>
      <c r="AI198" s="271">
        <f>AV198+AV199+AV200</f>
        <v>0</v>
      </c>
      <c r="AJ198" s="271">
        <f t="shared" ref="AJ198" si="135">AK198+AL198</f>
        <v>0</v>
      </c>
      <c r="AK198" s="271">
        <f t="shared" ref="AK198" si="136">ROUND(AL198*0.2,0)</f>
        <v>0</v>
      </c>
      <c r="AL198" s="271">
        <f>AQ198</f>
        <v>0</v>
      </c>
      <c r="AM198" s="271">
        <f>AL198-AI198</f>
        <v>0</v>
      </c>
      <c r="AN198" s="271"/>
    </row>
    <row r="199" spans="31:40">
      <c r="AE199" s="265"/>
      <c r="AF199" s="265" t="s">
        <v>373</v>
      </c>
      <c r="AG199" s="266"/>
      <c r="AH199" s="271"/>
      <c r="AI199" s="271"/>
      <c r="AJ199" s="271"/>
      <c r="AK199" s="271">
        <f>ROUND(AJ199*20/120,0)</f>
        <v>0</v>
      </c>
      <c r="AL199" s="271">
        <f>AJ199-AK199</f>
        <v>0</v>
      </c>
      <c r="AM199" s="271">
        <f>AL199-AI199</f>
        <v>0</v>
      </c>
      <c r="AN199" s="271"/>
    </row>
    <row r="200" spans="31:40">
      <c r="AE200" s="46"/>
      <c r="AF200" s="46" t="s">
        <v>250</v>
      </c>
      <c r="AG200" s="91"/>
      <c r="AH200" s="91">
        <f>SUM(AH197:AH199)</f>
        <v>339</v>
      </c>
      <c r="AI200" s="91">
        <f t="shared" ref="AI200:AN200" si="137">SUM(AI197:AI199)</f>
        <v>0</v>
      </c>
      <c r="AJ200" s="91">
        <f t="shared" si="137"/>
        <v>0</v>
      </c>
      <c r="AK200" s="91">
        <f t="shared" si="137"/>
        <v>0</v>
      </c>
      <c r="AL200" s="91">
        <f t="shared" si="137"/>
        <v>0</v>
      </c>
      <c r="AM200" s="91">
        <f t="shared" si="137"/>
        <v>0</v>
      </c>
      <c r="AN200" s="91">
        <f t="shared" si="137"/>
        <v>0</v>
      </c>
    </row>
    <row r="201" spans="31:40">
      <c r="AE201" s="265">
        <v>5</v>
      </c>
      <c r="AF201" s="265" t="s">
        <v>470</v>
      </c>
      <c r="AG201" s="266" t="s">
        <v>180</v>
      </c>
      <c r="AH201" s="271">
        <v>41.503999999999998</v>
      </c>
      <c r="AI201" s="271">
        <v>28925</v>
      </c>
      <c r="AJ201" s="271">
        <f>ROUND(+AI201*120%,0)</f>
        <v>34710</v>
      </c>
      <c r="AK201" s="271">
        <f>ROUND(AJ201*20/120,0)</f>
        <v>5785</v>
      </c>
      <c r="AL201" s="271">
        <f>AJ201-AK201</f>
        <v>28925</v>
      </c>
      <c r="AM201" s="271">
        <f>AL201-AI201</f>
        <v>0</v>
      </c>
      <c r="AN201" s="271"/>
    </row>
    <row r="202" spans="31:40">
      <c r="AE202" s="265">
        <v>6</v>
      </c>
      <c r="AF202" s="265" t="s">
        <v>471</v>
      </c>
      <c r="AG202" s="266" t="s">
        <v>180</v>
      </c>
      <c r="AH202" s="271">
        <v>359</v>
      </c>
      <c r="AI202" s="271">
        <v>151828</v>
      </c>
      <c r="AJ202" s="271">
        <f>ROUND(+AI202*120%,0)</f>
        <v>182194</v>
      </c>
      <c r="AK202" s="271">
        <f>ROUND(AJ202*20/120,0)</f>
        <v>30366</v>
      </c>
      <c r="AL202" s="271">
        <f>AJ202-AK202</f>
        <v>151828</v>
      </c>
      <c r="AM202" s="271">
        <f>AL202-AI202</f>
        <v>0</v>
      </c>
      <c r="AN202" s="271"/>
    </row>
    <row r="203" spans="31:40">
      <c r="AE203" s="46"/>
      <c r="AF203" s="46" t="s">
        <v>384</v>
      </c>
      <c r="AG203" s="46"/>
      <c r="AH203" s="86" t="s">
        <v>65</v>
      </c>
      <c r="AI203" s="91">
        <f t="shared" ref="AI203:AN203" si="138">+AI187+AI194+AI196+AI200+AI201+AI202</f>
        <v>7375891.1419999991</v>
      </c>
      <c r="AJ203" s="91">
        <f t="shared" si="138"/>
        <v>13750364.141999999</v>
      </c>
      <c r="AK203" s="91">
        <f t="shared" si="138"/>
        <v>6374473</v>
      </c>
      <c r="AL203" s="91">
        <f t="shared" si="138"/>
        <v>7375891.1419999991</v>
      </c>
      <c r="AM203" s="91">
        <f t="shared" si="138"/>
        <v>0</v>
      </c>
      <c r="AN203" s="91">
        <f t="shared" si="138"/>
        <v>0</v>
      </c>
    </row>
    <row r="204" spans="31:40">
      <c r="AE204" s="265">
        <v>7</v>
      </c>
      <c r="AF204" s="265" t="s">
        <v>472</v>
      </c>
      <c r="AG204" s="265"/>
      <c r="AH204" s="271"/>
      <c r="AI204" s="271"/>
      <c r="AJ204" s="271">
        <f t="shared" ref="AJ204:AJ212" si="139">ROUND(+AI204*120%,0)</f>
        <v>0</v>
      </c>
      <c r="AK204" s="271">
        <f t="shared" ref="AK204:AK212" si="140">ROUND(AJ204*20/120,0)</f>
        <v>0</v>
      </c>
      <c r="AL204" s="271">
        <f t="shared" ref="AL204:AL210" si="141">AJ204-AK204</f>
        <v>0</v>
      </c>
      <c r="AM204" s="271"/>
      <c r="AN204" s="271"/>
    </row>
    <row r="205" spans="31:40">
      <c r="AE205" s="265">
        <f>AE204+1</f>
        <v>8</v>
      </c>
      <c r="AF205" s="265" t="s">
        <v>479</v>
      </c>
      <c r="AG205" s="266" t="s">
        <v>180</v>
      </c>
      <c r="AH205" s="271">
        <v>35.9</v>
      </c>
      <c r="AI205" s="271">
        <v>10585</v>
      </c>
      <c r="AJ205" s="271">
        <f t="shared" si="139"/>
        <v>12702</v>
      </c>
      <c r="AK205" s="271">
        <f t="shared" si="140"/>
        <v>2117</v>
      </c>
      <c r="AL205" s="271">
        <f t="shared" si="141"/>
        <v>10585</v>
      </c>
      <c r="AM205" s="271">
        <f t="shared" ref="AM205:AM211" si="142">AL205-AI205</f>
        <v>0</v>
      </c>
      <c r="AN205" s="271"/>
    </row>
    <row r="206" spans="31:40">
      <c r="AE206" s="265">
        <f t="shared" ref="AE206:AE218" si="143">AE205+1</f>
        <v>9</v>
      </c>
      <c r="AF206" s="265" t="s">
        <v>486</v>
      </c>
      <c r="AG206" s="265"/>
      <c r="AH206" s="271"/>
      <c r="AI206" s="271"/>
      <c r="AJ206" s="271">
        <f t="shared" si="139"/>
        <v>0</v>
      </c>
      <c r="AK206" s="271">
        <f t="shared" si="140"/>
        <v>0</v>
      </c>
      <c r="AL206" s="271">
        <f t="shared" si="141"/>
        <v>0</v>
      </c>
      <c r="AM206" s="271">
        <f t="shared" si="142"/>
        <v>0</v>
      </c>
      <c r="AN206" s="271"/>
    </row>
    <row r="207" spans="31:40">
      <c r="AE207" s="265">
        <f t="shared" si="143"/>
        <v>10</v>
      </c>
      <c r="AF207" s="265" t="s">
        <v>119</v>
      </c>
      <c r="AG207" s="266"/>
      <c r="AH207" s="271"/>
      <c r="AI207" s="271">
        <v>3025924.3</v>
      </c>
      <c r="AJ207" s="271">
        <f t="shared" si="139"/>
        <v>3631109</v>
      </c>
      <c r="AK207" s="271">
        <f t="shared" si="140"/>
        <v>605185</v>
      </c>
      <c r="AL207" s="271">
        <f t="shared" si="141"/>
        <v>3025924</v>
      </c>
      <c r="AM207" s="271">
        <f t="shared" si="142"/>
        <v>-0.29999999981373549</v>
      </c>
      <c r="AN207" s="271"/>
    </row>
    <row r="208" spans="31:40">
      <c r="AE208" s="265">
        <f t="shared" si="143"/>
        <v>11</v>
      </c>
      <c r="AF208" s="265" t="s">
        <v>387</v>
      </c>
      <c r="AG208" s="265"/>
      <c r="AH208" s="271"/>
      <c r="AI208" s="271"/>
      <c r="AJ208" s="271">
        <f t="shared" si="139"/>
        <v>0</v>
      </c>
      <c r="AK208" s="271">
        <f t="shared" si="140"/>
        <v>0</v>
      </c>
      <c r="AL208" s="271">
        <f t="shared" si="141"/>
        <v>0</v>
      </c>
      <c r="AM208" s="271">
        <f t="shared" si="142"/>
        <v>0</v>
      </c>
      <c r="AN208" s="271"/>
    </row>
    <row r="209" spans="31:40">
      <c r="AE209" s="265">
        <f t="shared" si="143"/>
        <v>12</v>
      </c>
      <c r="AF209" s="265" t="s">
        <v>194</v>
      </c>
      <c r="AG209" s="265"/>
      <c r="AH209" s="271"/>
      <c r="AI209" s="271"/>
      <c r="AJ209" s="271">
        <f t="shared" si="139"/>
        <v>0</v>
      </c>
      <c r="AK209" s="271">
        <f t="shared" si="140"/>
        <v>0</v>
      </c>
      <c r="AL209" s="271">
        <f t="shared" si="141"/>
        <v>0</v>
      </c>
      <c r="AM209" s="271">
        <f t="shared" si="142"/>
        <v>0</v>
      </c>
      <c r="AN209" s="271"/>
    </row>
    <row r="210" spans="31:40">
      <c r="AE210" s="265">
        <f t="shared" si="143"/>
        <v>13</v>
      </c>
      <c r="AF210" s="265" t="s">
        <v>150</v>
      </c>
      <c r="AG210" s="266" t="s">
        <v>180</v>
      </c>
      <c r="AH210" s="271">
        <v>42.2</v>
      </c>
      <c r="AI210" s="271">
        <v>42225</v>
      </c>
      <c r="AJ210" s="271">
        <f t="shared" si="139"/>
        <v>50670</v>
      </c>
      <c r="AK210" s="271">
        <f t="shared" si="140"/>
        <v>8445</v>
      </c>
      <c r="AL210" s="271">
        <f t="shared" si="141"/>
        <v>42225</v>
      </c>
      <c r="AM210" s="271">
        <f t="shared" si="142"/>
        <v>0</v>
      </c>
      <c r="AN210" s="271"/>
    </row>
    <row r="211" spans="31:40">
      <c r="AE211" s="265">
        <f t="shared" si="143"/>
        <v>14</v>
      </c>
      <c r="AF211" s="265" t="s">
        <v>213</v>
      </c>
      <c r="AG211" s="265"/>
      <c r="AH211" s="271"/>
      <c r="AI211" s="271"/>
      <c r="AJ211" s="271">
        <f t="shared" si="139"/>
        <v>0</v>
      </c>
      <c r="AK211" s="271">
        <f t="shared" si="140"/>
        <v>0</v>
      </c>
      <c r="AL211" s="271">
        <f>AJ211-AK211</f>
        <v>0</v>
      </c>
      <c r="AM211" s="271">
        <f t="shared" si="142"/>
        <v>0</v>
      </c>
      <c r="AN211" s="271"/>
    </row>
    <row r="212" spans="31:40">
      <c r="AE212" s="265">
        <f t="shared" si="143"/>
        <v>15</v>
      </c>
      <c r="AF212" s="265" t="s">
        <v>467</v>
      </c>
      <c r="AG212" s="265"/>
      <c r="AH212" s="271"/>
      <c r="AI212" s="271">
        <v>792203</v>
      </c>
      <c r="AJ212" s="271">
        <f t="shared" si="139"/>
        <v>950644</v>
      </c>
      <c r="AK212" s="271">
        <f t="shared" si="140"/>
        <v>158441</v>
      </c>
      <c r="AL212" s="271">
        <f t="shared" ref="AL212" si="144">AJ212-AK212</f>
        <v>792203</v>
      </c>
      <c r="AM212" s="271">
        <f>AL212-AI212</f>
        <v>0</v>
      </c>
      <c r="AN212" s="271"/>
    </row>
    <row r="213" spans="31:40">
      <c r="AE213" s="265">
        <f t="shared" si="143"/>
        <v>16</v>
      </c>
      <c r="AF213" s="265" t="s">
        <v>862</v>
      </c>
      <c r="AG213" s="265"/>
      <c r="AH213" s="271"/>
      <c r="AI213" s="271">
        <f>635927/1.15</f>
        <v>552980</v>
      </c>
      <c r="AJ213" s="271">
        <f>AL213+AK213</f>
        <v>635927</v>
      </c>
      <c r="AK213" s="271">
        <f>AL213*0.15</f>
        <v>82947</v>
      </c>
      <c r="AL213" s="271">
        <f>635927/1.15</f>
        <v>552980</v>
      </c>
      <c r="AM213" s="271">
        <f t="shared" ref="AM213:AM218" si="145">AL213-AI213</f>
        <v>0</v>
      </c>
      <c r="AN213" s="271"/>
    </row>
    <row r="214" spans="31:40">
      <c r="AE214" s="265">
        <f t="shared" si="143"/>
        <v>17</v>
      </c>
      <c r="AF214" s="265" t="s">
        <v>451</v>
      </c>
      <c r="AG214" s="265"/>
      <c r="AH214" s="271"/>
      <c r="AI214" s="271"/>
      <c r="AJ214" s="271">
        <f t="shared" ref="AJ214:AJ218" si="146">ROUND(+AI214*120%,0)</f>
        <v>0</v>
      </c>
      <c r="AK214" s="271">
        <f t="shared" ref="AK214:AK218" si="147">ROUND(AJ214*20/120,0)</f>
        <v>0</v>
      </c>
      <c r="AL214" s="271">
        <f t="shared" ref="AL214:AL218" si="148">AJ214-AK214</f>
        <v>0</v>
      </c>
      <c r="AM214" s="271">
        <f t="shared" si="145"/>
        <v>0</v>
      </c>
      <c r="AN214" s="271"/>
    </row>
    <row r="215" spans="31:40">
      <c r="AE215" s="265">
        <f t="shared" si="143"/>
        <v>18</v>
      </c>
      <c r="AF215" s="265" t="s">
        <v>460</v>
      </c>
      <c r="AG215" s="265"/>
      <c r="AH215" s="271"/>
      <c r="AI215" s="271"/>
      <c r="AJ215" s="271">
        <f t="shared" si="146"/>
        <v>0</v>
      </c>
      <c r="AK215" s="271">
        <f t="shared" si="147"/>
        <v>0</v>
      </c>
      <c r="AL215" s="271">
        <f t="shared" si="148"/>
        <v>0</v>
      </c>
      <c r="AM215" s="271">
        <f t="shared" si="145"/>
        <v>0</v>
      </c>
      <c r="AN215" s="271"/>
    </row>
    <row r="216" spans="31:40">
      <c r="AE216" s="265">
        <f t="shared" si="143"/>
        <v>19</v>
      </c>
      <c r="AF216" s="265" t="s">
        <v>461</v>
      </c>
      <c r="AG216" s="265"/>
      <c r="AH216" s="271"/>
      <c r="AI216" s="271"/>
      <c r="AJ216" s="271">
        <f t="shared" si="146"/>
        <v>0</v>
      </c>
      <c r="AK216" s="271">
        <f t="shared" si="147"/>
        <v>0</v>
      </c>
      <c r="AL216" s="271">
        <f t="shared" si="148"/>
        <v>0</v>
      </c>
      <c r="AM216" s="271">
        <f t="shared" si="145"/>
        <v>0</v>
      </c>
      <c r="AN216" s="271"/>
    </row>
    <row r="217" spans="31:40">
      <c r="AE217" s="265">
        <f t="shared" si="143"/>
        <v>20</v>
      </c>
      <c r="AF217" s="265" t="s">
        <v>448</v>
      </c>
      <c r="AG217" s="266"/>
      <c r="AH217" s="271"/>
      <c r="AI217" s="271"/>
      <c r="AJ217" s="271">
        <f t="shared" si="146"/>
        <v>0</v>
      </c>
      <c r="AK217" s="271">
        <f t="shared" si="147"/>
        <v>0</v>
      </c>
      <c r="AL217" s="271">
        <f t="shared" si="148"/>
        <v>0</v>
      </c>
      <c r="AM217" s="271">
        <f t="shared" si="145"/>
        <v>0</v>
      </c>
      <c r="AN217" s="271"/>
    </row>
    <row r="218" spans="31:40">
      <c r="AE218" s="265">
        <f t="shared" si="143"/>
        <v>21</v>
      </c>
      <c r="AF218" s="265" t="s">
        <v>204</v>
      </c>
      <c r="AG218" s="265"/>
      <c r="AH218" s="271"/>
      <c r="AI218" s="271"/>
      <c r="AJ218" s="271">
        <f t="shared" si="146"/>
        <v>0</v>
      </c>
      <c r="AK218" s="271">
        <f t="shared" si="147"/>
        <v>0</v>
      </c>
      <c r="AL218" s="271">
        <f t="shared" si="148"/>
        <v>0</v>
      </c>
      <c r="AM218" s="271">
        <f t="shared" si="145"/>
        <v>0</v>
      </c>
      <c r="AN218" s="271"/>
    </row>
    <row r="219" spans="31:40">
      <c r="AE219" s="265"/>
      <c r="AF219" s="46" t="s">
        <v>499</v>
      </c>
      <c r="AG219" s="46"/>
      <c r="AH219" s="91">
        <f t="shared" ref="AH219:AN219" si="149">AH204+AH205+AH206+AH207+AH210+AH211+AH212+AH213+AH214+AH215+AH216+AH217+AH218</f>
        <v>78.099999999999994</v>
      </c>
      <c r="AI219" s="91">
        <f t="shared" si="149"/>
        <v>4423917.3</v>
      </c>
      <c r="AJ219" s="91">
        <f t="shared" si="149"/>
        <v>5281052</v>
      </c>
      <c r="AK219" s="91">
        <f t="shared" si="149"/>
        <v>857135</v>
      </c>
      <c r="AL219" s="91">
        <f t="shared" si="149"/>
        <v>4423917</v>
      </c>
      <c r="AM219" s="91">
        <f t="shared" si="149"/>
        <v>-0.29999999981373549</v>
      </c>
      <c r="AN219" s="91">
        <f t="shared" si="149"/>
        <v>0</v>
      </c>
    </row>
    <row r="220" spans="31:40">
      <c r="AE220" s="265"/>
      <c r="AF220" s="46" t="s">
        <v>247</v>
      </c>
      <c r="AG220" s="46"/>
      <c r="AH220" s="86" t="s">
        <v>65</v>
      </c>
      <c r="AI220" s="91">
        <f t="shared" ref="AI220:AN220" si="150">AI203+AI219</f>
        <v>11799808.441999998</v>
      </c>
      <c r="AJ220" s="91">
        <f t="shared" si="150"/>
        <v>19031416.141999997</v>
      </c>
      <c r="AK220" s="91">
        <f t="shared" si="150"/>
        <v>7231608</v>
      </c>
      <c r="AL220" s="91">
        <f t="shared" si="150"/>
        <v>11799808.141999999</v>
      </c>
      <c r="AM220" s="91">
        <f t="shared" si="150"/>
        <v>-0.29999999981373549</v>
      </c>
      <c r="AN220" s="91">
        <f t="shared" si="150"/>
        <v>0</v>
      </c>
    </row>
    <row r="221" spans="31:40">
      <c r="AH221" s="226"/>
      <c r="AI221" s="226"/>
      <c r="AJ221" s="226"/>
      <c r="AK221" s="226"/>
      <c r="AL221" s="226"/>
      <c r="AM221" s="226"/>
      <c r="AN221" s="226"/>
    </row>
    <row r="222" spans="31:40" ht="15">
      <c r="AF222" s="95" t="s">
        <v>366</v>
      </c>
      <c r="AH222" s="226"/>
      <c r="AI222" s="226"/>
      <c r="AJ222" s="226"/>
      <c r="AK222" s="226"/>
      <c r="AL222" s="226"/>
      <c r="AM222" s="226"/>
      <c r="AN222" s="226"/>
    </row>
    <row r="223" spans="31:40" ht="15">
      <c r="AF223" s="95" t="s">
        <v>336</v>
      </c>
      <c r="AI223" s="226"/>
      <c r="AJ223" s="226"/>
      <c r="AK223" s="226"/>
      <c r="AL223" s="226"/>
      <c r="AM223" s="226"/>
      <c r="AN223" s="226"/>
    </row>
    <row r="224" spans="31:40">
      <c r="AJ224" s="226"/>
      <c r="AK224" s="460"/>
      <c r="AL224" s="226"/>
      <c r="AM224" s="226"/>
    </row>
  </sheetData>
  <mergeCells count="44">
    <mergeCell ref="X96:AG96"/>
    <mergeCell ref="X97:AG97"/>
    <mergeCell ref="X99:X100"/>
    <mergeCell ref="Y99:Y100"/>
    <mergeCell ref="Z99:Z100"/>
    <mergeCell ref="AA99:AA100"/>
    <mergeCell ref="AB99:AB100"/>
    <mergeCell ref="AC99:AC100"/>
    <mergeCell ref="AD99:AD100"/>
    <mergeCell ref="AE99:AE100"/>
    <mergeCell ref="AF99:AG99"/>
    <mergeCell ref="AD3:AM3"/>
    <mergeCell ref="AD2:AM2"/>
    <mergeCell ref="AL5:AM5"/>
    <mergeCell ref="AD5:AD6"/>
    <mergeCell ref="AE5:AE6"/>
    <mergeCell ref="AF5:AF6"/>
    <mergeCell ref="AG5:AG6"/>
    <mergeCell ref="AH5:AH6"/>
    <mergeCell ref="AI5:AI6"/>
    <mergeCell ref="AJ5:AJ6"/>
    <mergeCell ref="AK5:AK6"/>
    <mergeCell ref="AE164:AN164"/>
    <mergeCell ref="AE165:AN165"/>
    <mergeCell ref="AE167:AE168"/>
    <mergeCell ref="AF167:AF168"/>
    <mergeCell ref="AG167:AG168"/>
    <mergeCell ref="AH167:AH168"/>
    <mergeCell ref="AI167:AI168"/>
    <mergeCell ref="AJ167:AJ168"/>
    <mergeCell ref="AK167:AK168"/>
    <mergeCell ref="AL167:AL168"/>
    <mergeCell ref="AM167:AN167"/>
    <mergeCell ref="AH81:AQ81"/>
    <mergeCell ref="AH82:AQ82"/>
    <mergeCell ref="AH84:AH85"/>
    <mergeCell ref="AI84:AI85"/>
    <mergeCell ref="AJ84:AJ85"/>
    <mergeCell ref="AK84:AK85"/>
    <mergeCell ref="AL84:AL85"/>
    <mergeCell ref="AM84:AM85"/>
    <mergeCell ref="AN84:AN85"/>
    <mergeCell ref="AO84:AO85"/>
    <mergeCell ref="AP84:AQ84"/>
  </mergeCells>
  <phoneticPr fontId="6" type="noConversion"/>
  <pageMargins left="0.82" right="0.19685039370078741" top="0.32" bottom="0.22" header="0.15748031496062992" footer="0.19685039370078741"/>
  <pageSetup paperSize="9" scale="85" fitToHeight="1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F0"/>
    <pageSetUpPr fitToPage="1"/>
  </sheetPr>
  <dimension ref="A1:G23"/>
  <sheetViews>
    <sheetView workbookViewId="0">
      <selection activeCell="D16" sqref="D16"/>
    </sheetView>
  </sheetViews>
  <sheetFormatPr defaultRowHeight="12.75"/>
  <cols>
    <col min="1" max="1" width="32.85546875" style="207" customWidth="1"/>
    <col min="2" max="3" width="15.5703125" style="206" customWidth="1"/>
    <col min="4" max="4" width="19.28515625" style="206" customWidth="1"/>
    <col min="5" max="5" width="23.140625" style="206" customWidth="1"/>
    <col min="6" max="6" width="9.140625" style="207"/>
    <col min="7" max="7" width="10.85546875" style="207" customWidth="1"/>
    <col min="8" max="16384" width="9.140625" style="207"/>
  </cols>
  <sheetData>
    <row r="1" spans="1:7">
      <c r="A1" s="205"/>
    </row>
    <row r="2" spans="1:7" ht="21" customHeight="1">
      <c r="A2" s="483" t="s">
        <v>364</v>
      </c>
      <c r="B2" s="483"/>
      <c r="C2" s="483"/>
      <c r="D2" s="483"/>
      <c r="E2" s="483"/>
    </row>
    <row r="3" spans="1:7" ht="15.75">
      <c r="A3" s="484" t="s">
        <v>855</v>
      </c>
      <c r="B3" s="484"/>
      <c r="C3" s="484"/>
      <c r="D3" s="484"/>
      <c r="E3" s="484"/>
    </row>
    <row r="4" spans="1:7" ht="18">
      <c r="A4" s="485" t="s">
        <v>53</v>
      </c>
      <c r="B4" s="485"/>
      <c r="C4" s="485"/>
      <c r="D4" s="485"/>
      <c r="E4" s="485"/>
    </row>
    <row r="5" spans="1:7" ht="24.6" customHeight="1"/>
    <row r="6" spans="1:7" ht="18" customHeight="1">
      <c r="A6" s="208"/>
      <c r="B6" s="209"/>
      <c r="C6" s="210"/>
      <c r="D6" s="210"/>
      <c r="E6" s="211"/>
    </row>
    <row r="7" spans="1:7" ht="18" customHeight="1">
      <c r="A7" s="212"/>
      <c r="B7" s="213" t="s">
        <v>327</v>
      </c>
      <c r="C7" s="214"/>
      <c r="D7" s="215" t="s">
        <v>368</v>
      </c>
      <c r="E7" s="216" t="s">
        <v>429</v>
      </c>
    </row>
    <row r="8" spans="1:7" ht="18" customHeight="1">
      <c r="A8" s="217"/>
      <c r="B8" s="218" t="s">
        <v>146</v>
      </c>
      <c r="C8" s="219" t="s">
        <v>355</v>
      </c>
      <c r="D8" s="219" t="s">
        <v>356</v>
      </c>
      <c r="E8" s="219" t="s">
        <v>61</v>
      </c>
    </row>
    <row r="9" spans="1:7" ht="18" customHeight="1">
      <c r="A9" s="220" t="s">
        <v>856</v>
      </c>
      <c r="B9" s="219">
        <v>2258926</v>
      </c>
      <c r="C9" s="219">
        <v>29903236.565032497</v>
      </c>
      <c r="D9" s="219">
        <v>33839695.306458332</v>
      </c>
      <c r="E9" s="219">
        <v>3936458.7414258309</v>
      </c>
    </row>
    <row r="10" spans="1:7" ht="18" customHeight="1">
      <c r="A10" s="220" t="s">
        <v>255</v>
      </c>
      <c r="B10" s="219">
        <f>B9</f>
        <v>2258926</v>
      </c>
      <c r="C10" s="219">
        <f>C9</f>
        <v>29903236.565032497</v>
      </c>
      <c r="D10" s="219">
        <f>D9</f>
        <v>33839695.306458332</v>
      </c>
      <c r="E10" s="219">
        <f>E9</f>
        <v>3936458.7414258309</v>
      </c>
    </row>
    <row r="11" spans="1:7" ht="18" customHeight="1">
      <c r="A11" s="220" t="s">
        <v>39</v>
      </c>
      <c r="B11" s="219"/>
      <c r="C11" s="219"/>
      <c r="D11" s="219"/>
      <c r="E11" s="219"/>
    </row>
    <row r="12" spans="1:7" ht="18" customHeight="1">
      <c r="A12" s="220" t="s">
        <v>34</v>
      </c>
      <c r="B12" s="219"/>
      <c r="C12" s="219"/>
      <c r="D12" s="219"/>
      <c r="E12" s="219"/>
    </row>
    <row r="13" spans="1:7" ht="18" customHeight="1">
      <c r="A13" s="220" t="s">
        <v>35</v>
      </c>
      <c r="B13" s="221">
        <v>32158450</v>
      </c>
      <c r="C13" s="221" t="e">
        <f>#REF!</f>
        <v>#REF!</v>
      </c>
      <c r="D13" s="219">
        <v>28950400</v>
      </c>
      <c r="E13" s="219" t="e">
        <f>D13-C13</f>
        <v>#REF!</v>
      </c>
      <c r="F13" s="222"/>
      <c r="G13" s="206"/>
    </row>
    <row r="14" spans="1:7" ht="18" customHeight="1">
      <c r="A14" s="220" t="s">
        <v>36</v>
      </c>
      <c r="B14" s="221">
        <v>32500000</v>
      </c>
      <c r="C14" s="221" t="e">
        <f>#REF!+#REF!-#REF!</f>
        <v>#REF!</v>
      </c>
      <c r="D14" s="219">
        <f>'25 АПК'!AK41</f>
        <v>60241210.858979993</v>
      </c>
      <c r="E14" s="219" t="e">
        <f>D14-C14</f>
        <v>#REF!</v>
      </c>
      <c r="F14" s="222"/>
      <c r="G14" s="206"/>
    </row>
    <row r="15" spans="1:7" ht="18" customHeight="1">
      <c r="A15" s="220" t="s">
        <v>868</v>
      </c>
      <c r="B15" s="219">
        <f>B9+B13+B12-B14</f>
        <v>1917376</v>
      </c>
      <c r="C15" s="219" t="e">
        <f>C9+C13+C12-C14</f>
        <v>#REF!</v>
      </c>
      <c r="D15" s="219">
        <f>D9+D13+D12-D14</f>
        <v>2548884.4474783391</v>
      </c>
      <c r="E15" s="219" t="e">
        <f>E9+E13+E12-E14</f>
        <v>#REF!</v>
      </c>
    </row>
    <row r="16" spans="1:7" ht="18" customHeight="1">
      <c r="A16" s="220" t="s">
        <v>255</v>
      </c>
      <c r="B16" s="219">
        <f>B15</f>
        <v>1917376</v>
      </c>
      <c r="C16" s="221" t="e">
        <f>C15</f>
        <v>#REF!</v>
      </c>
      <c r="D16" s="219">
        <f>D15</f>
        <v>2548884.4474783391</v>
      </c>
      <c r="E16" s="219" t="e">
        <f>E15</f>
        <v>#REF!</v>
      </c>
    </row>
    <row r="17" spans="1:5" ht="18" customHeight="1">
      <c r="A17" s="223" t="s">
        <v>39</v>
      </c>
      <c r="B17" s="219"/>
      <c r="C17" s="219"/>
      <c r="D17" s="219"/>
      <c r="E17" s="219"/>
    </row>
    <row r="18" spans="1:5">
      <c r="C18" s="456" t="e">
        <f>#REF!</f>
        <v>#REF!</v>
      </c>
    </row>
    <row r="19" spans="1:5">
      <c r="C19" s="456" t="e">
        <f>C16-C18</f>
        <v>#REF!</v>
      </c>
      <c r="D19" s="224"/>
    </row>
    <row r="20" spans="1:5">
      <c r="A20" s="9" t="s">
        <v>38</v>
      </c>
      <c r="D20" s="224"/>
    </row>
    <row r="21" spans="1:5">
      <c r="A21" s="9"/>
      <c r="D21" s="224"/>
    </row>
    <row r="22" spans="1:5">
      <c r="A22" s="9" t="s">
        <v>257</v>
      </c>
      <c r="D22" s="224"/>
    </row>
    <row r="23" spans="1:5">
      <c r="A23" s="9"/>
    </row>
  </sheetData>
  <mergeCells count="3">
    <mergeCell ref="A2:E2"/>
    <mergeCell ref="A3:E3"/>
    <mergeCell ref="A4:E4"/>
  </mergeCells>
  <phoneticPr fontId="6" type="noConversion"/>
  <printOptions horizontalCentered="1"/>
  <pageMargins left="0.19685039370078741" right="0.27559055118110237" top="0.59" bottom="0.19685039370078741" header="0.2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F0"/>
  </sheetPr>
  <dimension ref="A2:K35"/>
  <sheetViews>
    <sheetView zoomScale="90" workbookViewId="0"/>
  </sheetViews>
  <sheetFormatPr defaultRowHeight="12.75"/>
  <cols>
    <col min="1" max="1" width="18.28515625" style="205" customWidth="1"/>
    <col min="2" max="3" width="9.28515625" style="226" bestFit="1" customWidth="1"/>
    <col min="4" max="4" width="10.7109375" style="226" customWidth="1"/>
    <col min="5" max="5" width="11.5703125" style="226" customWidth="1"/>
    <col min="6" max="6" width="11.28515625" style="226" customWidth="1"/>
    <col min="7" max="7" width="12.7109375" style="226" customWidth="1"/>
    <col min="8" max="8" width="14.140625" style="226" customWidth="1"/>
    <col min="9" max="9" width="12.42578125" style="205" customWidth="1"/>
    <col min="10" max="10" width="16.28515625" style="205" customWidth="1"/>
    <col min="11" max="11" width="13.42578125" style="205" customWidth="1"/>
    <col min="12" max="16384" width="9.140625" style="205"/>
  </cols>
  <sheetData>
    <row r="2" spans="1:11" ht="15.75">
      <c r="A2" s="486" t="s">
        <v>474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11" ht="15.75">
      <c r="A3" s="486" t="s">
        <v>258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</row>
    <row r="4" spans="1:11" ht="15.75">
      <c r="A4" s="486" t="s">
        <v>866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</row>
    <row r="5" spans="1:11">
      <c r="D5" s="322"/>
      <c r="E5" s="322"/>
      <c r="F5" s="322"/>
      <c r="G5" s="322"/>
      <c r="I5" s="205" t="s">
        <v>401</v>
      </c>
    </row>
    <row r="6" spans="1:11">
      <c r="A6" s="323" t="s">
        <v>235</v>
      </c>
      <c r="B6" s="243" t="s">
        <v>154</v>
      </c>
      <c r="C6" s="245"/>
      <c r="D6" s="243" t="s">
        <v>389</v>
      </c>
      <c r="E6" s="245"/>
      <c r="F6" s="243" t="s">
        <v>50</v>
      </c>
      <c r="G6" s="244"/>
      <c r="H6" s="245"/>
      <c r="I6" s="324" t="s">
        <v>51</v>
      </c>
      <c r="J6" s="325"/>
      <c r="K6" s="326"/>
    </row>
    <row r="7" spans="1:11">
      <c r="A7" s="327" t="s">
        <v>351</v>
      </c>
      <c r="B7" s="253" t="s">
        <v>165</v>
      </c>
      <c r="C7" s="258"/>
      <c r="D7" s="253" t="s">
        <v>230</v>
      </c>
      <c r="E7" s="258"/>
      <c r="F7" s="253" t="s">
        <v>231</v>
      </c>
      <c r="G7" s="259"/>
      <c r="H7" s="258"/>
      <c r="I7" s="328" t="s">
        <v>385</v>
      </c>
      <c r="J7" s="329"/>
      <c r="K7" s="330"/>
    </row>
    <row r="8" spans="1:11">
      <c r="A8" s="331" t="s">
        <v>386</v>
      </c>
      <c r="B8" s="229"/>
      <c r="C8" s="229"/>
      <c r="D8" s="229"/>
      <c r="E8" s="229"/>
      <c r="F8" s="229" t="s">
        <v>73</v>
      </c>
      <c r="G8" s="229" t="s">
        <v>74</v>
      </c>
      <c r="H8" s="229" t="s">
        <v>141</v>
      </c>
      <c r="I8" s="323" t="s">
        <v>73</v>
      </c>
      <c r="J8" s="323" t="s">
        <v>74</v>
      </c>
      <c r="K8" s="323" t="s">
        <v>141</v>
      </c>
    </row>
    <row r="9" spans="1:11">
      <c r="A9" s="265"/>
      <c r="B9" s="254" t="s">
        <v>124</v>
      </c>
      <c r="C9" s="254" t="s">
        <v>125</v>
      </c>
      <c r="D9" s="254" t="s">
        <v>124</v>
      </c>
      <c r="E9" s="254" t="s">
        <v>125</v>
      </c>
      <c r="F9" s="254" t="s">
        <v>126</v>
      </c>
      <c r="G9" s="254" t="s">
        <v>203</v>
      </c>
      <c r="H9" s="254"/>
      <c r="I9" s="331" t="s">
        <v>126</v>
      </c>
      <c r="J9" s="331" t="s">
        <v>203</v>
      </c>
      <c r="K9" s="331"/>
    </row>
    <row r="10" spans="1:11" ht="18.600000000000001" customHeight="1">
      <c r="A10" s="332" t="s">
        <v>202</v>
      </c>
      <c r="B10" s="271" t="e">
        <f>ROUND(C10*102%,0)</f>
        <v>#REF!</v>
      </c>
      <c r="C10" s="254" t="e">
        <f>#REF!</f>
        <v>#REF!</v>
      </c>
      <c r="D10" s="271" t="e">
        <f>ROUND(E10*101%,0)</f>
        <v>#REF!</v>
      </c>
      <c r="E10" s="271" t="e">
        <f>ROUND(F10*100%,0)+13213</f>
        <v>#REF!</v>
      </c>
      <c r="F10" s="271" t="e">
        <f>ROUND(G10*100%,0)</f>
        <v>#REF!</v>
      </c>
      <c r="G10" s="271" t="e">
        <f>ROUND(H10*100%,0)</f>
        <v>#REF!</v>
      </c>
      <c r="H10" s="254" t="e">
        <f>#REF!</f>
        <v>#REF!</v>
      </c>
      <c r="I10" s="333" t="e">
        <f t="shared" ref="I10:I25" si="0">F10*100/D10</f>
        <v>#REF!</v>
      </c>
      <c r="J10" s="333" t="e">
        <f t="shared" ref="J10:J25" si="1">G10*100/E10</f>
        <v>#REF!</v>
      </c>
      <c r="K10" s="333" t="e">
        <f t="shared" ref="K10:K25" si="2">H10*100/E10</f>
        <v>#REF!</v>
      </c>
    </row>
    <row r="11" spans="1:11" ht="18.600000000000001" customHeight="1">
      <c r="A11" s="332" t="s">
        <v>251</v>
      </c>
      <c r="B11" s="271" t="e">
        <f>ROUND(C11*102%,0)</f>
        <v>#REF!</v>
      </c>
      <c r="C11" s="254" t="e">
        <f>#REF!</f>
        <v>#REF!</v>
      </c>
      <c r="D11" s="271" t="e">
        <f t="shared" ref="D11:D14" si="3">ROUND(E11*101%,0)</f>
        <v>#REF!</v>
      </c>
      <c r="E11" s="271" t="e">
        <f t="shared" ref="E11" si="4">ROUND(F11*100.5%,0)</f>
        <v>#REF!</v>
      </c>
      <c r="F11" s="271" t="e">
        <f t="shared" ref="F11:G14" si="5">ROUND(G11*100%,0)</f>
        <v>#REF!</v>
      </c>
      <c r="G11" s="271" t="e">
        <f t="shared" si="5"/>
        <v>#REF!</v>
      </c>
      <c r="H11" s="254" t="e">
        <f>#REF!</f>
        <v>#REF!</v>
      </c>
      <c r="I11" s="333" t="e">
        <f t="shared" si="0"/>
        <v>#REF!</v>
      </c>
      <c r="J11" s="333" t="e">
        <f t="shared" si="1"/>
        <v>#REF!</v>
      </c>
      <c r="K11" s="333" t="e">
        <f t="shared" si="2"/>
        <v>#REF!</v>
      </c>
    </row>
    <row r="12" spans="1:11" ht="18.600000000000001" customHeight="1">
      <c r="A12" s="332" t="s">
        <v>252</v>
      </c>
      <c r="B12" s="271" t="e">
        <f>ROUND(C12*102%,0)</f>
        <v>#REF!</v>
      </c>
      <c r="C12" s="254" t="e">
        <f>#REF!</f>
        <v>#REF!</v>
      </c>
      <c r="D12" s="271" t="e">
        <f t="shared" si="3"/>
        <v>#REF!</v>
      </c>
      <c r="E12" s="271" t="e">
        <f t="shared" ref="E12" si="6">ROUND(F12*100.5%,0)</f>
        <v>#REF!</v>
      </c>
      <c r="F12" s="271" t="e">
        <f t="shared" si="5"/>
        <v>#REF!</v>
      </c>
      <c r="G12" s="271" t="e">
        <f t="shared" si="5"/>
        <v>#REF!</v>
      </c>
      <c r="H12" s="254" t="e">
        <f>#REF!</f>
        <v>#REF!</v>
      </c>
      <c r="I12" s="333" t="e">
        <f t="shared" si="0"/>
        <v>#REF!</v>
      </c>
      <c r="J12" s="333" t="e">
        <f t="shared" si="1"/>
        <v>#REF!</v>
      </c>
      <c r="K12" s="333" t="e">
        <f t="shared" si="2"/>
        <v>#REF!</v>
      </c>
    </row>
    <row r="13" spans="1:11" ht="18.600000000000001" customHeight="1">
      <c r="A13" s="332" t="s">
        <v>195</v>
      </c>
      <c r="B13" s="271" t="e">
        <f>ROUND(C13*102%,0)</f>
        <v>#REF!</v>
      </c>
      <c r="C13" s="254" t="e">
        <f>#REF!</f>
        <v>#REF!</v>
      </c>
      <c r="D13" s="271" t="e">
        <f t="shared" si="3"/>
        <v>#REF!</v>
      </c>
      <c r="E13" s="271" t="e">
        <f t="shared" ref="E13" si="7">ROUND(F13*100.5%,0)</f>
        <v>#REF!</v>
      </c>
      <c r="F13" s="271" t="e">
        <f t="shared" si="5"/>
        <v>#REF!</v>
      </c>
      <c r="G13" s="271" t="e">
        <f t="shared" si="5"/>
        <v>#REF!</v>
      </c>
      <c r="H13" s="254" t="e">
        <f>#REF!</f>
        <v>#REF!</v>
      </c>
      <c r="I13" s="333" t="e">
        <f t="shared" si="0"/>
        <v>#REF!</v>
      </c>
      <c r="J13" s="333" t="e">
        <f t="shared" si="1"/>
        <v>#REF!</v>
      </c>
      <c r="K13" s="333" t="e">
        <f t="shared" si="2"/>
        <v>#REF!</v>
      </c>
    </row>
    <row r="14" spans="1:11" ht="18.600000000000001" customHeight="1">
      <c r="A14" s="332" t="s">
        <v>196</v>
      </c>
      <c r="B14" s="271" t="e">
        <f>ROUND(C14*102%,0)</f>
        <v>#REF!</v>
      </c>
      <c r="C14" s="254" t="e">
        <f>#REF!</f>
        <v>#REF!</v>
      </c>
      <c r="D14" s="271" t="e">
        <f t="shared" si="3"/>
        <v>#REF!</v>
      </c>
      <c r="E14" s="271" t="e">
        <f t="shared" ref="E14" si="8">ROUND(F14*100.5%,0)</f>
        <v>#REF!</v>
      </c>
      <c r="F14" s="271" t="e">
        <f t="shared" si="5"/>
        <v>#REF!</v>
      </c>
      <c r="G14" s="271" t="e">
        <f t="shared" si="5"/>
        <v>#REF!</v>
      </c>
      <c r="H14" s="254" t="e">
        <f>#REF!</f>
        <v>#REF!</v>
      </c>
      <c r="I14" s="333" t="e">
        <f t="shared" si="0"/>
        <v>#REF!</v>
      </c>
      <c r="J14" s="333" t="e">
        <f t="shared" si="1"/>
        <v>#REF!</v>
      </c>
      <c r="K14" s="333" t="e">
        <f t="shared" si="2"/>
        <v>#REF!</v>
      </c>
    </row>
    <row r="15" spans="1:11" s="43" customFormat="1" ht="18.600000000000001" customHeight="1">
      <c r="A15" s="334" t="s">
        <v>464</v>
      </c>
      <c r="B15" s="91" t="e">
        <f>SUM(B10:B14)</f>
        <v>#REF!</v>
      </c>
      <c r="C15" s="91" t="e">
        <f>SUM(C10:C14)</f>
        <v>#REF!</v>
      </c>
      <c r="D15" s="91" t="e">
        <f>SUM(D10:D14)</f>
        <v>#REF!</v>
      </c>
      <c r="E15" s="91" t="e">
        <f>SUM(E10:E14)</f>
        <v>#REF!</v>
      </c>
      <c r="F15" s="91" t="e">
        <f>SUM(F10:F14)</f>
        <v>#REF!</v>
      </c>
      <c r="G15" s="91" t="e">
        <f>G10+G11+G12+G13+G14</f>
        <v>#REF!</v>
      </c>
      <c r="H15" s="91" t="e">
        <f>H10+H11+H12+H13+H14</f>
        <v>#REF!</v>
      </c>
      <c r="I15" s="335" t="e">
        <f t="shared" si="0"/>
        <v>#REF!</v>
      </c>
      <c r="J15" s="335" t="e">
        <f t="shared" si="1"/>
        <v>#REF!</v>
      </c>
      <c r="K15" s="335" t="e">
        <f t="shared" si="2"/>
        <v>#REF!</v>
      </c>
    </row>
    <row r="16" spans="1:11" ht="18.600000000000001" customHeight="1">
      <c r="A16" s="265" t="s">
        <v>352</v>
      </c>
      <c r="B16" s="254"/>
      <c r="C16" s="254"/>
      <c r="D16" s="254" t="e">
        <f t="shared" ref="D16:G19" si="9">E16</f>
        <v>#REF!</v>
      </c>
      <c r="E16" s="254" t="e">
        <f t="shared" si="9"/>
        <v>#REF!</v>
      </c>
      <c r="F16" s="254" t="e">
        <f t="shared" si="9"/>
        <v>#REF!</v>
      </c>
      <c r="G16" s="254" t="e">
        <f t="shared" si="9"/>
        <v>#REF!</v>
      </c>
      <c r="H16" s="254" t="e">
        <f>#REF!+#REF!+#REF!+#REF!+#REF!</f>
        <v>#REF!</v>
      </c>
      <c r="I16" s="333" t="e">
        <f t="shared" si="0"/>
        <v>#REF!</v>
      </c>
      <c r="J16" s="333" t="e">
        <f t="shared" si="1"/>
        <v>#REF!</v>
      </c>
      <c r="K16" s="333" t="e">
        <f t="shared" si="2"/>
        <v>#REF!</v>
      </c>
    </row>
    <row r="17" spans="1:11" ht="18.600000000000001" customHeight="1">
      <c r="A17" s="236" t="s">
        <v>23</v>
      </c>
      <c r="B17" s="254"/>
      <c r="C17" s="254"/>
      <c r="D17" s="254" t="e">
        <f t="shared" si="9"/>
        <v>#REF!</v>
      </c>
      <c r="E17" s="254" t="e">
        <f t="shared" si="9"/>
        <v>#REF!</v>
      </c>
      <c r="F17" s="254" t="e">
        <f t="shared" si="9"/>
        <v>#REF!</v>
      </c>
      <c r="G17" s="254" t="e">
        <f t="shared" si="9"/>
        <v>#REF!</v>
      </c>
      <c r="H17" s="254" t="e">
        <f>#REF!</f>
        <v>#REF!</v>
      </c>
      <c r="I17" s="333" t="e">
        <f t="shared" si="0"/>
        <v>#REF!</v>
      </c>
      <c r="J17" s="333" t="e">
        <f t="shared" si="1"/>
        <v>#REF!</v>
      </c>
      <c r="K17" s="333" t="e">
        <f t="shared" si="2"/>
        <v>#REF!</v>
      </c>
    </row>
    <row r="18" spans="1:11" ht="18.600000000000001" customHeight="1">
      <c r="A18" s="265" t="s">
        <v>487</v>
      </c>
      <c r="B18" s="254">
        <f t="shared" ref="B18:H18" si="10">B16+B17</f>
        <v>0</v>
      </c>
      <c r="C18" s="254">
        <f t="shared" si="10"/>
        <v>0</v>
      </c>
      <c r="D18" s="254" t="e">
        <f t="shared" si="10"/>
        <v>#REF!</v>
      </c>
      <c r="E18" s="254" t="e">
        <f t="shared" si="10"/>
        <v>#REF!</v>
      </c>
      <c r="F18" s="254" t="e">
        <f t="shared" si="10"/>
        <v>#REF!</v>
      </c>
      <c r="G18" s="254" t="e">
        <f t="shared" si="10"/>
        <v>#REF!</v>
      </c>
      <c r="H18" s="254" t="e">
        <f t="shared" si="10"/>
        <v>#REF!</v>
      </c>
      <c r="I18" s="333" t="e">
        <f t="shared" si="0"/>
        <v>#REF!</v>
      </c>
      <c r="J18" s="333" t="e">
        <f t="shared" si="1"/>
        <v>#REF!</v>
      </c>
      <c r="K18" s="333" t="e">
        <f t="shared" si="2"/>
        <v>#REF!</v>
      </c>
    </row>
    <row r="19" spans="1:11" ht="18.600000000000001" customHeight="1">
      <c r="A19" s="265" t="s">
        <v>430</v>
      </c>
      <c r="B19" s="254"/>
      <c r="C19" s="254"/>
      <c r="D19" s="254" t="e">
        <f>E19</f>
        <v>#REF!</v>
      </c>
      <c r="E19" s="254" t="e">
        <f>F19</f>
        <v>#REF!</v>
      </c>
      <c r="F19" s="254" t="e">
        <f>G19</f>
        <v>#REF!</v>
      </c>
      <c r="G19" s="254" t="e">
        <f t="shared" si="9"/>
        <v>#REF!</v>
      </c>
      <c r="H19" s="254" t="e">
        <f>#REF!</f>
        <v>#REF!</v>
      </c>
      <c r="I19" s="333" t="e">
        <f t="shared" si="0"/>
        <v>#REF!</v>
      </c>
      <c r="J19" s="333" t="e">
        <f t="shared" si="1"/>
        <v>#REF!</v>
      </c>
      <c r="K19" s="333" t="e">
        <f t="shared" si="2"/>
        <v>#REF!</v>
      </c>
    </row>
    <row r="20" spans="1:11" ht="18.600000000000001" customHeight="1">
      <c r="A20" s="236" t="s">
        <v>138</v>
      </c>
      <c r="B20" s="254"/>
      <c r="C20" s="254"/>
      <c r="D20" s="254"/>
      <c r="E20" s="254"/>
      <c r="F20" s="254"/>
      <c r="G20" s="254"/>
      <c r="H20" s="254"/>
      <c r="I20" s="333" t="e">
        <f t="shared" si="0"/>
        <v>#DIV/0!</v>
      </c>
      <c r="J20" s="333" t="e">
        <f t="shared" si="1"/>
        <v>#DIV/0!</v>
      </c>
      <c r="K20" s="333" t="e">
        <f t="shared" si="2"/>
        <v>#DIV/0!</v>
      </c>
    </row>
    <row r="21" spans="1:11" ht="18.600000000000001" customHeight="1">
      <c r="A21" s="236" t="s">
        <v>169</v>
      </c>
      <c r="B21" s="254"/>
      <c r="C21" s="254"/>
      <c r="D21" s="254"/>
      <c r="E21" s="254"/>
      <c r="F21" s="254"/>
      <c r="G21" s="254"/>
      <c r="H21" s="254"/>
      <c r="I21" s="333" t="e">
        <f t="shared" si="0"/>
        <v>#DIV/0!</v>
      </c>
      <c r="J21" s="333" t="e">
        <f t="shared" si="1"/>
        <v>#DIV/0!</v>
      </c>
      <c r="K21" s="333" t="e">
        <f t="shared" si="2"/>
        <v>#DIV/0!</v>
      </c>
    </row>
    <row r="22" spans="1:11" ht="18.600000000000001" customHeight="1">
      <c r="A22" s="332" t="s">
        <v>164</v>
      </c>
      <c r="B22" s="254"/>
      <c r="C22" s="254"/>
      <c r="D22" s="254"/>
      <c r="E22" s="254"/>
      <c r="F22" s="254"/>
      <c r="G22" s="254"/>
      <c r="H22" s="254"/>
      <c r="I22" s="333" t="e">
        <f t="shared" si="0"/>
        <v>#DIV/0!</v>
      </c>
      <c r="J22" s="333" t="e">
        <f t="shared" si="1"/>
        <v>#DIV/0!</v>
      </c>
      <c r="K22" s="333" t="e">
        <f t="shared" si="2"/>
        <v>#DIV/0!</v>
      </c>
    </row>
    <row r="23" spans="1:11" ht="18.600000000000001" customHeight="1">
      <c r="A23" s="332" t="s">
        <v>139</v>
      </c>
      <c r="B23" s="271">
        <f t="shared" ref="B23:H23" si="11">B19+B20+B21+B22</f>
        <v>0</v>
      </c>
      <c r="C23" s="271">
        <f t="shared" si="11"/>
        <v>0</v>
      </c>
      <c r="D23" s="271" t="e">
        <f t="shared" si="11"/>
        <v>#REF!</v>
      </c>
      <c r="E23" s="271" t="e">
        <f t="shared" si="11"/>
        <v>#REF!</v>
      </c>
      <c r="F23" s="271" t="e">
        <f t="shared" si="11"/>
        <v>#REF!</v>
      </c>
      <c r="G23" s="271" t="e">
        <f t="shared" si="11"/>
        <v>#REF!</v>
      </c>
      <c r="H23" s="271" t="e">
        <f t="shared" si="11"/>
        <v>#REF!</v>
      </c>
      <c r="I23" s="333" t="e">
        <f t="shared" si="0"/>
        <v>#REF!</v>
      </c>
      <c r="J23" s="333" t="e">
        <f t="shared" si="1"/>
        <v>#REF!</v>
      </c>
      <c r="K23" s="333" t="e">
        <f t="shared" si="2"/>
        <v>#REF!</v>
      </c>
    </row>
    <row r="24" spans="1:11">
      <c r="A24" s="265" t="s">
        <v>197</v>
      </c>
      <c r="B24" s="271"/>
      <c r="C24" s="271"/>
      <c r="D24" s="271"/>
      <c r="E24" s="271"/>
      <c r="F24" s="271"/>
      <c r="G24" s="271"/>
      <c r="H24" s="271"/>
      <c r="I24" s="333" t="e">
        <f t="shared" si="0"/>
        <v>#DIV/0!</v>
      </c>
      <c r="J24" s="333" t="e">
        <f t="shared" si="1"/>
        <v>#DIV/0!</v>
      </c>
      <c r="K24" s="333" t="e">
        <f t="shared" si="2"/>
        <v>#DIV/0!</v>
      </c>
    </row>
    <row r="25" spans="1:11">
      <c r="A25" s="265"/>
      <c r="B25" s="271"/>
      <c r="C25" s="271"/>
      <c r="D25" s="271"/>
      <c r="E25" s="271"/>
      <c r="F25" s="271"/>
      <c r="G25" s="271"/>
      <c r="H25" s="271"/>
      <c r="I25" s="333" t="e">
        <f t="shared" si="0"/>
        <v>#DIV/0!</v>
      </c>
      <c r="J25" s="333" t="e">
        <f t="shared" si="1"/>
        <v>#DIV/0!</v>
      </c>
      <c r="K25" s="333" t="e">
        <f t="shared" si="2"/>
        <v>#DIV/0!</v>
      </c>
    </row>
    <row r="26" spans="1:11">
      <c r="A26" s="265"/>
      <c r="B26" s="271"/>
      <c r="C26" s="271"/>
      <c r="D26" s="271"/>
      <c r="E26" s="271"/>
      <c r="F26" s="271"/>
      <c r="G26" s="271"/>
      <c r="H26" s="271"/>
      <c r="I26" s="333"/>
      <c r="J26" s="333"/>
      <c r="K26" s="333"/>
    </row>
    <row r="27" spans="1:11">
      <c r="A27" s="265"/>
      <c r="B27" s="271"/>
      <c r="C27" s="271"/>
      <c r="D27" s="271"/>
      <c r="E27" s="271"/>
      <c r="F27" s="271"/>
      <c r="G27" s="271"/>
      <c r="H27" s="271"/>
      <c r="I27" s="333" t="e">
        <f t="shared" ref="I27:J29" si="12">F27*100/D27</f>
        <v>#DIV/0!</v>
      </c>
      <c r="J27" s="333" t="e">
        <f t="shared" si="12"/>
        <v>#DIV/0!</v>
      </c>
      <c r="K27" s="333" t="e">
        <f>H27*100/E27</f>
        <v>#DIV/0!</v>
      </c>
    </row>
    <row r="28" spans="1:11">
      <c r="A28" s="265" t="s">
        <v>139</v>
      </c>
      <c r="B28" s="271">
        <f t="shared" ref="B28:H28" si="13">B24+B25+B27+B26</f>
        <v>0</v>
      </c>
      <c r="C28" s="271">
        <f t="shared" si="13"/>
        <v>0</v>
      </c>
      <c r="D28" s="271">
        <f t="shared" si="13"/>
        <v>0</v>
      </c>
      <c r="E28" s="271">
        <f t="shared" si="13"/>
        <v>0</v>
      </c>
      <c r="F28" s="271">
        <f t="shared" si="13"/>
        <v>0</v>
      </c>
      <c r="G28" s="271">
        <f t="shared" si="13"/>
        <v>0</v>
      </c>
      <c r="H28" s="271">
        <f t="shared" si="13"/>
        <v>0</v>
      </c>
      <c r="I28" s="333" t="e">
        <f t="shared" si="12"/>
        <v>#DIV/0!</v>
      </c>
      <c r="J28" s="333" t="e">
        <f t="shared" si="12"/>
        <v>#DIV/0!</v>
      </c>
      <c r="K28" s="333" t="e">
        <f>H28*100/E28</f>
        <v>#DIV/0!</v>
      </c>
    </row>
    <row r="29" spans="1:11" s="43" customFormat="1" ht="18" customHeight="1">
      <c r="A29" s="46" t="s">
        <v>407</v>
      </c>
      <c r="B29" s="91" t="e">
        <f t="shared" ref="B29:H29" si="14">+B15+B18+B23+B28</f>
        <v>#REF!</v>
      </c>
      <c r="C29" s="91" t="e">
        <f t="shared" si="14"/>
        <v>#REF!</v>
      </c>
      <c r="D29" s="91" t="e">
        <f t="shared" si="14"/>
        <v>#REF!</v>
      </c>
      <c r="E29" s="91" t="e">
        <f t="shared" si="14"/>
        <v>#REF!</v>
      </c>
      <c r="F29" s="91" t="e">
        <f t="shared" si="14"/>
        <v>#REF!</v>
      </c>
      <c r="G29" s="91" t="e">
        <f t="shared" si="14"/>
        <v>#REF!</v>
      </c>
      <c r="H29" s="91" t="e">
        <f t="shared" si="14"/>
        <v>#REF!</v>
      </c>
      <c r="I29" s="335" t="e">
        <f t="shared" si="12"/>
        <v>#REF!</v>
      </c>
      <c r="J29" s="335" t="e">
        <f t="shared" si="12"/>
        <v>#REF!</v>
      </c>
      <c r="K29" s="335" t="e">
        <f>H29*100/E29</f>
        <v>#REF!</v>
      </c>
    </row>
    <row r="30" spans="1:11">
      <c r="C30" s="270"/>
      <c r="H30" s="227"/>
    </row>
    <row r="31" spans="1:11">
      <c r="C31" s="270"/>
      <c r="E31" s="411">
        <f>'Товар продукц'!D13</f>
        <v>28950400</v>
      </c>
      <c r="F31" s="411"/>
      <c r="G31" s="411"/>
      <c r="H31" s="411" t="e">
        <f>'Товар продукц'!C13</f>
        <v>#REF!</v>
      </c>
    </row>
    <row r="32" spans="1:11">
      <c r="C32" s="270"/>
      <c r="E32" s="411" t="e">
        <f>E31-E29</f>
        <v>#REF!</v>
      </c>
      <c r="F32" s="411"/>
      <c r="G32" s="411"/>
      <c r="H32" s="411" t="e">
        <f>H31-H29</f>
        <v>#REF!</v>
      </c>
    </row>
    <row r="33" spans="1:3" ht="15.75">
      <c r="A33" s="336" t="s">
        <v>26</v>
      </c>
      <c r="C33" s="270"/>
    </row>
    <row r="34" spans="1:3" ht="15.75">
      <c r="A34" s="336"/>
      <c r="C34" s="270"/>
    </row>
    <row r="35" spans="1:3" ht="15.75">
      <c r="A35" s="336" t="s">
        <v>166</v>
      </c>
    </row>
  </sheetData>
  <mergeCells count="3">
    <mergeCell ref="A4:K4"/>
    <mergeCell ref="A2:K2"/>
    <mergeCell ref="A3:K3"/>
  </mergeCells>
  <phoneticPr fontId="6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F0"/>
  </sheetPr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84" t="s">
        <v>474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28"/>
      <c r="M2" s="65"/>
      <c r="N2" s="65"/>
    </row>
    <row r="3" spans="1:27" ht="15.75">
      <c r="A3" s="484" t="s">
        <v>258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28"/>
      <c r="M3" s="65"/>
      <c r="N3" s="65"/>
    </row>
    <row r="4" spans="1:27" ht="15.75">
      <c r="A4" s="484" t="s">
        <v>865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235</v>
      </c>
      <c r="B6" s="26" t="s">
        <v>154</v>
      </c>
      <c r="C6" s="11"/>
      <c r="D6" s="10" t="s">
        <v>389</v>
      </c>
      <c r="E6" s="11"/>
      <c r="F6" s="10" t="s">
        <v>50</v>
      </c>
      <c r="G6" s="26"/>
      <c r="H6" s="11"/>
      <c r="I6" s="33" t="s">
        <v>51</v>
      </c>
      <c r="J6" s="34"/>
      <c r="K6" s="24"/>
      <c r="L6" s="12" t="s">
        <v>235</v>
      </c>
      <c r="M6" s="60" t="s">
        <v>431</v>
      </c>
      <c r="N6" s="55"/>
      <c r="O6" s="60" t="s">
        <v>432</v>
      </c>
      <c r="P6" s="55"/>
      <c r="Q6" s="54" t="s">
        <v>433</v>
      </c>
      <c r="R6" s="66" t="s">
        <v>434</v>
      </c>
      <c r="S6" s="67"/>
      <c r="T6" s="68"/>
      <c r="U6" s="23" t="s">
        <v>51</v>
      </c>
      <c r="V6" s="29"/>
      <c r="W6" s="24"/>
    </row>
    <row r="7" spans="1:27">
      <c r="A7" s="22" t="s">
        <v>477</v>
      </c>
      <c r="B7" s="27" t="s">
        <v>165</v>
      </c>
      <c r="C7" s="14"/>
      <c r="D7" s="13" t="s">
        <v>478</v>
      </c>
      <c r="E7" s="14"/>
      <c r="F7" s="13" t="s">
        <v>231</v>
      </c>
      <c r="G7" s="27"/>
      <c r="H7" s="14"/>
      <c r="I7" s="35" t="s">
        <v>385</v>
      </c>
      <c r="J7" s="36"/>
      <c r="K7" s="16"/>
      <c r="L7" s="22" t="s">
        <v>477</v>
      </c>
      <c r="M7" s="61"/>
      <c r="N7" s="57"/>
      <c r="O7" s="61" t="s">
        <v>223</v>
      </c>
      <c r="P7" s="57"/>
      <c r="Q7" s="56" t="s">
        <v>484</v>
      </c>
      <c r="R7" s="69" t="s">
        <v>361</v>
      </c>
      <c r="S7" s="70"/>
      <c r="T7" s="71"/>
      <c r="U7" s="30" t="s">
        <v>385</v>
      </c>
      <c r="V7" s="31"/>
      <c r="W7" s="16"/>
    </row>
    <row r="8" spans="1:27">
      <c r="A8" s="22" t="s">
        <v>406</v>
      </c>
      <c r="B8" s="11"/>
      <c r="C8" s="12"/>
      <c r="D8" s="12"/>
      <c r="E8" s="12"/>
      <c r="F8" s="12" t="s">
        <v>73</v>
      </c>
      <c r="G8" s="12" t="s">
        <v>74</v>
      </c>
      <c r="H8" s="12" t="s">
        <v>141</v>
      </c>
      <c r="I8" s="12" t="s">
        <v>73</v>
      </c>
      <c r="J8" s="12" t="s">
        <v>74</v>
      </c>
      <c r="K8" s="12" t="s">
        <v>141</v>
      </c>
      <c r="L8" s="15" t="s">
        <v>406</v>
      </c>
      <c r="M8" s="54" t="s">
        <v>362</v>
      </c>
      <c r="N8" s="54" t="s">
        <v>125</v>
      </c>
      <c r="O8" s="54" t="s">
        <v>362</v>
      </c>
      <c r="P8" s="54" t="s">
        <v>125</v>
      </c>
      <c r="Q8" s="56" t="s">
        <v>256</v>
      </c>
      <c r="R8" s="54" t="s">
        <v>73</v>
      </c>
      <c r="S8" s="54" t="s">
        <v>74</v>
      </c>
      <c r="T8" s="54" t="s">
        <v>141</v>
      </c>
      <c r="U8" s="12" t="s">
        <v>73</v>
      </c>
      <c r="V8" s="12" t="s">
        <v>74</v>
      </c>
      <c r="W8" s="12" t="s">
        <v>141</v>
      </c>
    </row>
    <row r="9" spans="1:27">
      <c r="A9" s="15"/>
      <c r="B9" s="14" t="s">
        <v>124</v>
      </c>
      <c r="C9" s="15" t="s">
        <v>125</v>
      </c>
      <c r="D9" s="15" t="s">
        <v>124</v>
      </c>
      <c r="E9" s="15" t="s">
        <v>125</v>
      </c>
      <c r="F9" s="15" t="s">
        <v>126</v>
      </c>
      <c r="G9" s="15" t="s">
        <v>203</v>
      </c>
      <c r="H9" s="15"/>
      <c r="I9" s="15" t="s">
        <v>126</v>
      </c>
      <c r="J9" s="15" t="s">
        <v>203</v>
      </c>
      <c r="K9" s="15"/>
      <c r="L9" s="8"/>
      <c r="M9" s="53"/>
      <c r="N9" s="53"/>
      <c r="O9" s="53"/>
      <c r="P9" s="53"/>
      <c r="Q9" s="53" t="s">
        <v>363</v>
      </c>
      <c r="R9" s="53" t="s">
        <v>126</v>
      </c>
      <c r="S9" s="53" t="s">
        <v>203</v>
      </c>
      <c r="T9" s="53"/>
      <c r="U9" s="15" t="s">
        <v>126</v>
      </c>
      <c r="V9" s="15" t="s">
        <v>203</v>
      </c>
      <c r="W9" s="15"/>
    </row>
    <row r="10" spans="1:27" ht="19.5" customHeight="1">
      <c r="A10" s="117" t="s">
        <v>401</v>
      </c>
      <c r="B10" s="84" t="e">
        <f>'Вспом-1'!B29</f>
        <v>#REF!</v>
      </c>
      <c r="C10" s="84" t="e">
        <f>'Вспом-1'!C29</f>
        <v>#REF!</v>
      </c>
      <c r="D10" s="84" t="e">
        <f>'Вспом-1'!D29</f>
        <v>#REF!</v>
      </c>
      <c r="E10" s="84" t="e">
        <f>'Вспом-1'!E29</f>
        <v>#REF!</v>
      </c>
      <c r="F10" s="84" t="e">
        <f>'Вспом-1'!F29</f>
        <v>#REF!</v>
      </c>
      <c r="G10" s="84" t="e">
        <f>'Вспом-1'!G29</f>
        <v>#REF!</v>
      </c>
      <c r="H10" s="84" t="e">
        <f>'Вспом-1'!H29</f>
        <v>#REF!</v>
      </c>
      <c r="I10" s="85" t="e">
        <f>F10*100/D10</f>
        <v>#REF!</v>
      </c>
      <c r="J10" s="85" t="e">
        <f>G10*100/E10</f>
        <v>#REF!</v>
      </c>
      <c r="K10" s="85" t="e">
        <f>H10*100/E10</f>
        <v>#REF!</v>
      </c>
      <c r="L10" s="45" t="s">
        <v>401</v>
      </c>
      <c r="M10" s="84" t="e">
        <f>N10</f>
        <v>#REF!</v>
      </c>
      <c r="N10" s="84" t="e">
        <f>'Мол нат'!#REF!</f>
        <v>#REF!</v>
      </c>
      <c r="O10" s="84" t="e">
        <f>P10</f>
        <v>#REF!</v>
      </c>
      <c r="P10" s="84" t="e">
        <f>'Мол нат'!#REF!</f>
        <v>#REF!</v>
      </c>
      <c r="Q10" s="84"/>
      <c r="R10" s="84" t="e">
        <f>F10+M10+O10</f>
        <v>#REF!</v>
      </c>
      <c r="S10" s="84" t="e">
        <f>G10+M10+O10</f>
        <v>#REF!</v>
      </c>
      <c r="T10" s="84" t="e">
        <f>H10+N10+P10</f>
        <v>#REF!</v>
      </c>
      <c r="U10" s="116" t="e">
        <f>R10*100/D10</f>
        <v>#REF!</v>
      </c>
      <c r="V10" s="116" t="e">
        <f>S10*100/E10</f>
        <v>#REF!</v>
      </c>
      <c r="W10" s="116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9"/>
      <c r="D11" s="79"/>
      <c r="E11" s="79"/>
      <c r="F11" s="79"/>
      <c r="G11" s="79"/>
      <c r="H11" s="90"/>
      <c r="I11" s="92"/>
      <c r="J11" s="92"/>
      <c r="K11" s="92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38</v>
      </c>
      <c r="N12" s="63"/>
      <c r="O12" s="63"/>
      <c r="P12" s="63"/>
      <c r="Q12" s="63"/>
      <c r="R12" s="9" t="s">
        <v>166</v>
      </c>
      <c r="S12" s="63"/>
      <c r="T12" s="63"/>
    </row>
    <row r="13" spans="1:27">
      <c r="A13" t="s">
        <v>406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2:K2"/>
    <mergeCell ref="A3:K3"/>
    <mergeCell ref="A4:K4"/>
  </mergeCells>
  <phoneticPr fontId="6" type="noConversion"/>
  <pageMargins left="0.93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00B0F0"/>
  </sheetPr>
  <dimension ref="A2:AE29"/>
  <sheetViews>
    <sheetView workbookViewId="0">
      <selection activeCell="Q14" sqref="Q14"/>
    </sheetView>
  </sheetViews>
  <sheetFormatPr defaultRowHeight="15"/>
  <cols>
    <col min="1" max="1" width="4.7109375" style="432" customWidth="1"/>
    <col min="2" max="2" width="9.28515625" style="93" customWidth="1"/>
    <col min="3" max="3" width="7.28515625" style="93" customWidth="1"/>
    <col min="4" max="4" width="8.42578125" style="93" customWidth="1"/>
    <col min="5" max="5" width="8.42578125" style="93" hidden="1" customWidth="1"/>
    <col min="6" max="6" width="11" style="93" hidden="1" customWidth="1"/>
    <col min="7" max="7" width="6.7109375" style="93" customWidth="1"/>
    <col min="8" max="8" width="4.7109375" style="93" customWidth="1"/>
    <col min="9" max="9" width="6.7109375" style="93" customWidth="1"/>
    <col min="10" max="10" width="4.7109375" style="93" customWidth="1"/>
    <col min="11" max="11" width="6.7109375" style="93" customWidth="1"/>
    <col min="12" max="12" width="4.7109375" style="93" customWidth="1"/>
    <col min="13" max="13" width="6.7109375" style="93" customWidth="1"/>
    <col min="14" max="14" width="4.7109375" style="93" customWidth="1"/>
    <col min="15" max="15" width="5.7109375" style="93" customWidth="1"/>
    <col min="16" max="16" width="4.7109375" style="93" customWidth="1"/>
    <col min="17" max="17" width="5.7109375" style="93" customWidth="1"/>
    <col min="18" max="18" width="4.7109375" style="93" customWidth="1"/>
    <col min="19" max="19" width="5.7109375" style="93" customWidth="1"/>
    <col min="20" max="20" width="4.7109375" style="93" customWidth="1"/>
    <col min="21" max="21" width="5.7109375" style="93" customWidth="1"/>
    <col min="22" max="22" width="4.7109375" style="93" customWidth="1"/>
    <col min="23" max="23" width="5.7109375" style="93" customWidth="1"/>
    <col min="24" max="24" width="4.7109375" style="93" customWidth="1"/>
    <col min="25" max="25" width="5.7109375" style="93" customWidth="1"/>
    <col min="26" max="26" width="4.7109375" style="93" customWidth="1"/>
    <col min="27" max="27" width="5.7109375" style="93" customWidth="1"/>
    <col min="28" max="28" width="4.7109375" style="93" customWidth="1"/>
    <col min="29" max="29" width="5.7109375" style="93" customWidth="1"/>
    <col min="30" max="30" width="4.7109375" style="93" customWidth="1"/>
    <col min="31" max="247" width="9.140625" style="93"/>
    <col min="248" max="252" width="9.140625" style="93" customWidth="1"/>
    <col min="253" max="253" width="5.85546875" style="93" customWidth="1"/>
    <col min="254" max="254" width="9.28515625" style="93" customWidth="1"/>
    <col min="255" max="255" width="7.28515625" style="93" customWidth="1"/>
    <col min="256" max="256" width="8.42578125" style="93" customWidth="1"/>
    <col min="257" max="257" width="6" style="93" customWidth="1"/>
    <col min="258" max="258" width="4.42578125" style="93" customWidth="1"/>
    <col min="259" max="259" width="6.28515625" style="93" customWidth="1"/>
    <col min="260" max="260" width="4.42578125" style="93" customWidth="1"/>
    <col min="261" max="261" width="7" style="93" customWidth="1"/>
    <col min="262" max="262" width="4.42578125" style="93" customWidth="1"/>
    <col min="263" max="263" width="6.42578125" style="93" customWidth="1"/>
    <col min="264" max="264" width="4.42578125" style="93" customWidth="1"/>
    <col min="265" max="265" width="5.42578125" style="93" customWidth="1"/>
    <col min="266" max="266" width="4.42578125" style="93" customWidth="1"/>
    <col min="267" max="267" width="5.28515625" style="93" customWidth="1"/>
    <col min="268" max="268" width="4.42578125" style="93" customWidth="1"/>
    <col min="269" max="269" width="5.5703125" style="93" customWidth="1"/>
    <col min="270" max="270" width="4.42578125" style="93" customWidth="1"/>
    <col min="271" max="271" width="4.85546875" style="93" customWidth="1"/>
    <col min="272" max="272" width="4.42578125" style="93" customWidth="1"/>
    <col min="273" max="273" width="5.85546875" style="93" customWidth="1"/>
    <col min="274" max="274" width="4.42578125" style="93" customWidth="1"/>
    <col min="275" max="275" width="5.42578125" style="93" customWidth="1"/>
    <col min="276" max="276" width="4.42578125" style="93" customWidth="1"/>
    <col min="277" max="277" width="5.5703125" style="93" customWidth="1"/>
    <col min="278" max="278" width="4.42578125" style="93" customWidth="1"/>
    <col min="279" max="279" width="5.140625" style="93" customWidth="1"/>
    <col min="280" max="280" width="4.42578125" style="93" customWidth="1"/>
    <col min="281" max="503" width="9.140625" style="93"/>
    <col min="504" max="508" width="9.140625" style="93" customWidth="1"/>
    <col min="509" max="509" width="5.85546875" style="93" customWidth="1"/>
    <col min="510" max="510" width="9.28515625" style="93" customWidth="1"/>
    <col min="511" max="511" width="7.28515625" style="93" customWidth="1"/>
    <col min="512" max="512" width="8.42578125" style="93" customWidth="1"/>
    <col min="513" max="513" width="6" style="93" customWidth="1"/>
    <col min="514" max="514" width="4.42578125" style="93" customWidth="1"/>
    <col min="515" max="515" width="6.28515625" style="93" customWidth="1"/>
    <col min="516" max="516" width="4.42578125" style="93" customWidth="1"/>
    <col min="517" max="517" width="7" style="93" customWidth="1"/>
    <col min="518" max="518" width="4.42578125" style="93" customWidth="1"/>
    <col min="519" max="519" width="6.42578125" style="93" customWidth="1"/>
    <col min="520" max="520" width="4.42578125" style="93" customWidth="1"/>
    <col min="521" max="521" width="5.42578125" style="93" customWidth="1"/>
    <col min="522" max="522" width="4.42578125" style="93" customWidth="1"/>
    <col min="523" max="523" width="5.28515625" style="93" customWidth="1"/>
    <col min="524" max="524" width="4.42578125" style="93" customWidth="1"/>
    <col min="525" max="525" width="5.5703125" style="93" customWidth="1"/>
    <col min="526" max="526" width="4.42578125" style="93" customWidth="1"/>
    <col min="527" max="527" width="4.85546875" style="93" customWidth="1"/>
    <col min="528" max="528" width="4.42578125" style="93" customWidth="1"/>
    <col min="529" max="529" width="5.85546875" style="93" customWidth="1"/>
    <col min="530" max="530" width="4.42578125" style="93" customWidth="1"/>
    <col min="531" max="531" width="5.42578125" style="93" customWidth="1"/>
    <col min="532" max="532" width="4.42578125" style="93" customWidth="1"/>
    <col min="533" max="533" width="5.5703125" style="93" customWidth="1"/>
    <col min="534" max="534" width="4.42578125" style="93" customWidth="1"/>
    <col min="535" max="535" width="5.140625" style="93" customWidth="1"/>
    <col min="536" max="536" width="4.42578125" style="93" customWidth="1"/>
    <col min="537" max="759" width="9.140625" style="93"/>
    <col min="760" max="764" width="9.140625" style="93" customWidth="1"/>
    <col min="765" max="765" width="5.85546875" style="93" customWidth="1"/>
    <col min="766" max="766" width="9.28515625" style="93" customWidth="1"/>
    <col min="767" max="767" width="7.28515625" style="93" customWidth="1"/>
    <col min="768" max="768" width="8.42578125" style="93" customWidth="1"/>
    <col min="769" max="769" width="6" style="93" customWidth="1"/>
    <col min="770" max="770" width="4.42578125" style="93" customWidth="1"/>
    <col min="771" max="771" width="6.28515625" style="93" customWidth="1"/>
    <col min="772" max="772" width="4.42578125" style="93" customWidth="1"/>
    <col min="773" max="773" width="7" style="93" customWidth="1"/>
    <col min="774" max="774" width="4.42578125" style="93" customWidth="1"/>
    <col min="775" max="775" width="6.42578125" style="93" customWidth="1"/>
    <col min="776" max="776" width="4.42578125" style="93" customWidth="1"/>
    <col min="777" max="777" width="5.42578125" style="93" customWidth="1"/>
    <col min="778" max="778" width="4.42578125" style="93" customWidth="1"/>
    <col min="779" max="779" width="5.28515625" style="93" customWidth="1"/>
    <col min="780" max="780" width="4.42578125" style="93" customWidth="1"/>
    <col min="781" max="781" width="5.5703125" style="93" customWidth="1"/>
    <col min="782" max="782" width="4.42578125" style="93" customWidth="1"/>
    <col min="783" max="783" width="4.85546875" style="93" customWidth="1"/>
    <col min="784" max="784" width="4.42578125" style="93" customWidth="1"/>
    <col min="785" max="785" width="5.85546875" style="93" customWidth="1"/>
    <col min="786" max="786" width="4.42578125" style="93" customWidth="1"/>
    <col min="787" max="787" width="5.42578125" style="93" customWidth="1"/>
    <col min="788" max="788" width="4.42578125" style="93" customWidth="1"/>
    <col min="789" max="789" width="5.5703125" style="93" customWidth="1"/>
    <col min="790" max="790" width="4.42578125" style="93" customWidth="1"/>
    <col min="791" max="791" width="5.140625" style="93" customWidth="1"/>
    <col min="792" max="792" width="4.42578125" style="93" customWidth="1"/>
    <col min="793" max="1015" width="9.140625" style="93"/>
    <col min="1016" max="1020" width="9.140625" style="93" customWidth="1"/>
    <col min="1021" max="1021" width="5.85546875" style="93" customWidth="1"/>
    <col min="1022" max="1022" width="9.28515625" style="93" customWidth="1"/>
    <col min="1023" max="1023" width="7.28515625" style="93" customWidth="1"/>
    <col min="1024" max="1024" width="8.42578125" style="93" customWidth="1"/>
    <col min="1025" max="1025" width="6" style="93" customWidth="1"/>
    <col min="1026" max="1026" width="4.42578125" style="93" customWidth="1"/>
    <col min="1027" max="1027" width="6.28515625" style="93" customWidth="1"/>
    <col min="1028" max="1028" width="4.42578125" style="93" customWidth="1"/>
    <col min="1029" max="1029" width="7" style="93" customWidth="1"/>
    <col min="1030" max="1030" width="4.42578125" style="93" customWidth="1"/>
    <col min="1031" max="1031" width="6.42578125" style="93" customWidth="1"/>
    <col min="1032" max="1032" width="4.42578125" style="93" customWidth="1"/>
    <col min="1033" max="1033" width="5.42578125" style="93" customWidth="1"/>
    <col min="1034" max="1034" width="4.42578125" style="93" customWidth="1"/>
    <col min="1035" max="1035" width="5.28515625" style="93" customWidth="1"/>
    <col min="1036" max="1036" width="4.42578125" style="93" customWidth="1"/>
    <col min="1037" max="1037" width="5.5703125" style="93" customWidth="1"/>
    <col min="1038" max="1038" width="4.42578125" style="93" customWidth="1"/>
    <col min="1039" max="1039" width="4.85546875" style="93" customWidth="1"/>
    <col min="1040" max="1040" width="4.42578125" style="93" customWidth="1"/>
    <col min="1041" max="1041" width="5.85546875" style="93" customWidth="1"/>
    <col min="1042" max="1042" width="4.42578125" style="93" customWidth="1"/>
    <col min="1043" max="1043" width="5.42578125" style="93" customWidth="1"/>
    <col min="1044" max="1044" width="4.42578125" style="93" customWidth="1"/>
    <col min="1045" max="1045" width="5.5703125" style="93" customWidth="1"/>
    <col min="1046" max="1046" width="4.42578125" style="93" customWidth="1"/>
    <col min="1047" max="1047" width="5.140625" style="93" customWidth="1"/>
    <col min="1048" max="1048" width="4.42578125" style="93" customWidth="1"/>
    <col min="1049" max="1271" width="9.140625" style="93"/>
    <col min="1272" max="1276" width="9.140625" style="93" customWidth="1"/>
    <col min="1277" max="1277" width="5.85546875" style="93" customWidth="1"/>
    <col min="1278" max="1278" width="9.28515625" style="93" customWidth="1"/>
    <col min="1279" max="1279" width="7.28515625" style="93" customWidth="1"/>
    <col min="1280" max="1280" width="8.42578125" style="93" customWidth="1"/>
    <col min="1281" max="1281" width="6" style="93" customWidth="1"/>
    <col min="1282" max="1282" width="4.42578125" style="93" customWidth="1"/>
    <col min="1283" max="1283" width="6.28515625" style="93" customWidth="1"/>
    <col min="1284" max="1284" width="4.42578125" style="93" customWidth="1"/>
    <col min="1285" max="1285" width="7" style="93" customWidth="1"/>
    <col min="1286" max="1286" width="4.42578125" style="93" customWidth="1"/>
    <col min="1287" max="1287" width="6.42578125" style="93" customWidth="1"/>
    <col min="1288" max="1288" width="4.42578125" style="93" customWidth="1"/>
    <col min="1289" max="1289" width="5.42578125" style="93" customWidth="1"/>
    <col min="1290" max="1290" width="4.42578125" style="93" customWidth="1"/>
    <col min="1291" max="1291" width="5.28515625" style="93" customWidth="1"/>
    <col min="1292" max="1292" width="4.42578125" style="93" customWidth="1"/>
    <col min="1293" max="1293" width="5.5703125" style="93" customWidth="1"/>
    <col min="1294" max="1294" width="4.42578125" style="93" customWidth="1"/>
    <col min="1295" max="1295" width="4.85546875" style="93" customWidth="1"/>
    <col min="1296" max="1296" width="4.42578125" style="93" customWidth="1"/>
    <col min="1297" max="1297" width="5.85546875" style="93" customWidth="1"/>
    <col min="1298" max="1298" width="4.42578125" style="93" customWidth="1"/>
    <col min="1299" max="1299" width="5.42578125" style="93" customWidth="1"/>
    <col min="1300" max="1300" width="4.42578125" style="93" customWidth="1"/>
    <col min="1301" max="1301" width="5.5703125" style="93" customWidth="1"/>
    <col min="1302" max="1302" width="4.42578125" style="93" customWidth="1"/>
    <col min="1303" max="1303" width="5.140625" style="93" customWidth="1"/>
    <col min="1304" max="1304" width="4.42578125" style="93" customWidth="1"/>
    <col min="1305" max="1527" width="9.140625" style="93"/>
    <col min="1528" max="1532" width="9.140625" style="93" customWidth="1"/>
    <col min="1533" max="1533" width="5.85546875" style="93" customWidth="1"/>
    <col min="1534" max="1534" width="9.28515625" style="93" customWidth="1"/>
    <col min="1535" max="1535" width="7.28515625" style="93" customWidth="1"/>
    <col min="1536" max="1536" width="8.42578125" style="93" customWidth="1"/>
    <col min="1537" max="1537" width="6" style="93" customWidth="1"/>
    <col min="1538" max="1538" width="4.42578125" style="93" customWidth="1"/>
    <col min="1539" max="1539" width="6.28515625" style="93" customWidth="1"/>
    <col min="1540" max="1540" width="4.42578125" style="93" customWidth="1"/>
    <col min="1541" max="1541" width="7" style="93" customWidth="1"/>
    <col min="1542" max="1542" width="4.42578125" style="93" customWidth="1"/>
    <col min="1543" max="1543" width="6.42578125" style="93" customWidth="1"/>
    <col min="1544" max="1544" width="4.42578125" style="93" customWidth="1"/>
    <col min="1545" max="1545" width="5.42578125" style="93" customWidth="1"/>
    <col min="1546" max="1546" width="4.42578125" style="93" customWidth="1"/>
    <col min="1547" max="1547" width="5.28515625" style="93" customWidth="1"/>
    <col min="1548" max="1548" width="4.42578125" style="93" customWidth="1"/>
    <col min="1549" max="1549" width="5.5703125" style="93" customWidth="1"/>
    <col min="1550" max="1550" width="4.42578125" style="93" customWidth="1"/>
    <col min="1551" max="1551" width="4.85546875" style="93" customWidth="1"/>
    <col min="1552" max="1552" width="4.42578125" style="93" customWidth="1"/>
    <col min="1553" max="1553" width="5.85546875" style="93" customWidth="1"/>
    <col min="1554" max="1554" width="4.42578125" style="93" customWidth="1"/>
    <col min="1555" max="1555" width="5.42578125" style="93" customWidth="1"/>
    <col min="1556" max="1556" width="4.42578125" style="93" customWidth="1"/>
    <col min="1557" max="1557" width="5.5703125" style="93" customWidth="1"/>
    <col min="1558" max="1558" width="4.42578125" style="93" customWidth="1"/>
    <col min="1559" max="1559" width="5.140625" style="93" customWidth="1"/>
    <col min="1560" max="1560" width="4.42578125" style="93" customWidth="1"/>
    <col min="1561" max="1783" width="9.140625" style="93"/>
    <col min="1784" max="1788" width="9.140625" style="93" customWidth="1"/>
    <col min="1789" max="1789" width="5.85546875" style="93" customWidth="1"/>
    <col min="1790" max="1790" width="9.28515625" style="93" customWidth="1"/>
    <col min="1791" max="1791" width="7.28515625" style="93" customWidth="1"/>
    <col min="1792" max="1792" width="8.42578125" style="93" customWidth="1"/>
    <col min="1793" max="1793" width="6" style="93" customWidth="1"/>
    <col min="1794" max="1794" width="4.42578125" style="93" customWidth="1"/>
    <col min="1795" max="1795" width="6.28515625" style="93" customWidth="1"/>
    <col min="1796" max="1796" width="4.42578125" style="93" customWidth="1"/>
    <col min="1797" max="1797" width="7" style="93" customWidth="1"/>
    <col min="1798" max="1798" width="4.42578125" style="93" customWidth="1"/>
    <col min="1799" max="1799" width="6.42578125" style="93" customWidth="1"/>
    <col min="1800" max="1800" width="4.42578125" style="93" customWidth="1"/>
    <col min="1801" max="1801" width="5.42578125" style="93" customWidth="1"/>
    <col min="1802" max="1802" width="4.42578125" style="93" customWidth="1"/>
    <col min="1803" max="1803" width="5.28515625" style="93" customWidth="1"/>
    <col min="1804" max="1804" width="4.42578125" style="93" customWidth="1"/>
    <col min="1805" max="1805" width="5.5703125" style="93" customWidth="1"/>
    <col min="1806" max="1806" width="4.42578125" style="93" customWidth="1"/>
    <col min="1807" max="1807" width="4.85546875" style="93" customWidth="1"/>
    <col min="1808" max="1808" width="4.42578125" style="93" customWidth="1"/>
    <col min="1809" max="1809" width="5.85546875" style="93" customWidth="1"/>
    <col min="1810" max="1810" width="4.42578125" style="93" customWidth="1"/>
    <col min="1811" max="1811" width="5.42578125" style="93" customWidth="1"/>
    <col min="1812" max="1812" width="4.42578125" style="93" customWidth="1"/>
    <col min="1813" max="1813" width="5.5703125" style="93" customWidth="1"/>
    <col min="1814" max="1814" width="4.42578125" style="93" customWidth="1"/>
    <col min="1815" max="1815" width="5.140625" style="93" customWidth="1"/>
    <col min="1816" max="1816" width="4.42578125" style="93" customWidth="1"/>
    <col min="1817" max="2039" width="9.140625" style="93"/>
    <col min="2040" max="2044" width="9.140625" style="93" customWidth="1"/>
    <col min="2045" max="2045" width="5.85546875" style="93" customWidth="1"/>
    <col min="2046" max="2046" width="9.28515625" style="93" customWidth="1"/>
    <col min="2047" max="2047" width="7.28515625" style="93" customWidth="1"/>
    <col min="2048" max="2048" width="8.42578125" style="93" customWidth="1"/>
    <col min="2049" max="2049" width="6" style="93" customWidth="1"/>
    <col min="2050" max="2050" width="4.42578125" style="93" customWidth="1"/>
    <col min="2051" max="2051" width="6.28515625" style="93" customWidth="1"/>
    <col min="2052" max="2052" width="4.42578125" style="93" customWidth="1"/>
    <col min="2053" max="2053" width="7" style="93" customWidth="1"/>
    <col min="2054" max="2054" width="4.42578125" style="93" customWidth="1"/>
    <col min="2055" max="2055" width="6.42578125" style="93" customWidth="1"/>
    <col min="2056" max="2056" width="4.42578125" style="93" customWidth="1"/>
    <col min="2057" max="2057" width="5.42578125" style="93" customWidth="1"/>
    <col min="2058" max="2058" width="4.42578125" style="93" customWidth="1"/>
    <col min="2059" max="2059" width="5.28515625" style="93" customWidth="1"/>
    <col min="2060" max="2060" width="4.42578125" style="93" customWidth="1"/>
    <col min="2061" max="2061" width="5.5703125" style="93" customWidth="1"/>
    <col min="2062" max="2062" width="4.42578125" style="93" customWidth="1"/>
    <col min="2063" max="2063" width="4.85546875" style="93" customWidth="1"/>
    <col min="2064" max="2064" width="4.42578125" style="93" customWidth="1"/>
    <col min="2065" max="2065" width="5.85546875" style="93" customWidth="1"/>
    <col min="2066" max="2066" width="4.42578125" style="93" customWidth="1"/>
    <col min="2067" max="2067" width="5.42578125" style="93" customWidth="1"/>
    <col min="2068" max="2068" width="4.42578125" style="93" customWidth="1"/>
    <col min="2069" max="2069" width="5.5703125" style="93" customWidth="1"/>
    <col min="2070" max="2070" width="4.42578125" style="93" customWidth="1"/>
    <col min="2071" max="2071" width="5.140625" style="93" customWidth="1"/>
    <col min="2072" max="2072" width="4.42578125" style="93" customWidth="1"/>
    <col min="2073" max="2295" width="9.140625" style="93"/>
    <col min="2296" max="2300" width="9.140625" style="93" customWidth="1"/>
    <col min="2301" max="2301" width="5.85546875" style="93" customWidth="1"/>
    <col min="2302" max="2302" width="9.28515625" style="93" customWidth="1"/>
    <col min="2303" max="2303" width="7.28515625" style="93" customWidth="1"/>
    <col min="2304" max="2304" width="8.42578125" style="93" customWidth="1"/>
    <col min="2305" max="2305" width="6" style="93" customWidth="1"/>
    <col min="2306" max="2306" width="4.42578125" style="93" customWidth="1"/>
    <col min="2307" max="2307" width="6.28515625" style="93" customWidth="1"/>
    <col min="2308" max="2308" width="4.42578125" style="93" customWidth="1"/>
    <col min="2309" max="2309" width="7" style="93" customWidth="1"/>
    <col min="2310" max="2310" width="4.42578125" style="93" customWidth="1"/>
    <col min="2311" max="2311" width="6.42578125" style="93" customWidth="1"/>
    <col min="2312" max="2312" width="4.42578125" style="93" customWidth="1"/>
    <col min="2313" max="2313" width="5.42578125" style="93" customWidth="1"/>
    <col min="2314" max="2314" width="4.42578125" style="93" customWidth="1"/>
    <col min="2315" max="2315" width="5.28515625" style="93" customWidth="1"/>
    <col min="2316" max="2316" width="4.42578125" style="93" customWidth="1"/>
    <col min="2317" max="2317" width="5.5703125" style="93" customWidth="1"/>
    <col min="2318" max="2318" width="4.42578125" style="93" customWidth="1"/>
    <col min="2319" max="2319" width="4.85546875" style="93" customWidth="1"/>
    <col min="2320" max="2320" width="4.42578125" style="93" customWidth="1"/>
    <col min="2321" max="2321" width="5.85546875" style="93" customWidth="1"/>
    <col min="2322" max="2322" width="4.42578125" style="93" customWidth="1"/>
    <col min="2323" max="2323" width="5.42578125" style="93" customWidth="1"/>
    <col min="2324" max="2324" width="4.42578125" style="93" customWidth="1"/>
    <col min="2325" max="2325" width="5.5703125" style="93" customWidth="1"/>
    <col min="2326" max="2326" width="4.42578125" style="93" customWidth="1"/>
    <col min="2327" max="2327" width="5.140625" style="93" customWidth="1"/>
    <col min="2328" max="2328" width="4.42578125" style="93" customWidth="1"/>
    <col min="2329" max="2551" width="9.140625" style="93"/>
    <col min="2552" max="2556" width="9.140625" style="93" customWidth="1"/>
    <col min="2557" max="2557" width="5.85546875" style="93" customWidth="1"/>
    <col min="2558" max="2558" width="9.28515625" style="93" customWidth="1"/>
    <col min="2559" max="2559" width="7.28515625" style="93" customWidth="1"/>
    <col min="2560" max="2560" width="8.42578125" style="93" customWidth="1"/>
    <col min="2561" max="2561" width="6" style="93" customWidth="1"/>
    <col min="2562" max="2562" width="4.42578125" style="93" customWidth="1"/>
    <col min="2563" max="2563" width="6.28515625" style="93" customWidth="1"/>
    <col min="2564" max="2564" width="4.42578125" style="93" customWidth="1"/>
    <col min="2565" max="2565" width="7" style="93" customWidth="1"/>
    <col min="2566" max="2566" width="4.42578125" style="93" customWidth="1"/>
    <col min="2567" max="2567" width="6.42578125" style="93" customWidth="1"/>
    <col min="2568" max="2568" width="4.42578125" style="93" customWidth="1"/>
    <col min="2569" max="2569" width="5.42578125" style="93" customWidth="1"/>
    <col min="2570" max="2570" width="4.42578125" style="93" customWidth="1"/>
    <col min="2571" max="2571" width="5.28515625" style="93" customWidth="1"/>
    <col min="2572" max="2572" width="4.42578125" style="93" customWidth="1"/>
    <col min="2573" max="2573" width="5.5703125" style="93" customWidth="1"/>
    <col min="2574" max="2574" width="4.42578125" style="93" customWidth="1"/>
    <col min="2575" max="2575" width="4.85546875" style="93" customWidth="1"/>
    <col min="2576" max="2576" width="4.42578125" style="93" customWidth="1"/>
    <col min="2577" max="2577" width="5.85546875" style="93" customWidth="1"/>
    <col min="2578" max="2578" width="4.42578125" style="93" customWidth="1"/>
    <col min="2579" max="2579" width="5.42578125" style="93" customWidth="1"/>
    <col min="2580" max="2580" width="4.42578125" style="93" customWidth="1"/>
    <col min="2581" max="2581" width="5.5703125" style="93" customWidth="1"/>
    <col min="2582" max="2582" width="4.42578125" style="93" customWidth="1"/>
    <col min="2583" max="2583" width="5.140625" style="93" customWidth="1"/>
    <col min="2584" max="2584" width="4.42578125" style="93" customWidth="1"/>
    <col min="2585" max="2807" width="9.140625" style="93"/>
    <col min="2808" max="2812" width="9.140625" style="93" customWidth="1"/>
    <col min="2813" max="2813" width="5.85546875" style="93" customWidth="1"/>
    <col min="2814" max="2814" width="9.28515625" style="93" customWidth="1"/>
    <col min="2815" max="2815" width="7.28515625" style="93" customWidth="1"/>
    <col min="2816" max="2816" width="8.42578125" style="93" customWidth="1"/>
    <col min="2817" max="2817" width="6" style="93" customWidth="1"/>
    <col min="2818" max="2818" width="4.42578125" style="93" customWidth="1"/>
    <col min="2819" max="2819" width="6.28515625" style="93" customWidth="1"/>
    <col min="2820" max="2820" width="4.42578125" style="93" customWidth="1"/>
    <col min="2821" max="2821" width="7" style="93" customWidth="1"/>
    <col min="2822" max="2822" width="4.42578125" style="93" customWidth="1"/>
    <col min="2823" max="2823" width="6.42578125" style="93" customWidth="1"/>
    <col min="2824" max="2824" width="4.42578125" style="93" customWidth="1"/>
    <col min="2825" max="2825" width="5.42578125" style="93" customWidth="1"/>
    <col min="2826" max="2826" width="4.42578125" style="93" customWidth="1"/>
    <col min="2827" max="2827" width="5.28515625" style="93" customWidth="1"/>
    <col min="2828" max="2828" width="4.42578125" style="93" customWidth="1"/>
    <col min="2829" max="2829" width="5.5703125" style="93" customWidth="1"/>
    <col min="2830" max="2830" width="4.42578125" style="93" customWidth="1"/>
    <col min="2831" max="2831" width="4.85546875" style="93" customWidth="1"/>
    <col min="2832" max="2832" width="4.42578125" style="93" customWidth="1"/>
    <col min="2833" max="2833" width="5.85546875" style="93" customWidth="1"/>
    <col min="2834" max="2834" width="4.42578125" style="93" customWidth="1"/>
    <col min="2835" max="2835" width="5.42578125" style="93" customWidth="1"/>
    <col min="2836" max="2836" width="4.42578125" style="93" customWidth="1"/>
    <col min="2837" max="2837" width="5.5703125" style="93" customWidth="1"/>
    <col min="2838" max="2838" width="4.42578125" style="93" customWidth="1"/>
    <col min="2839" max="2839" width="5.140625" style="93" customWidth="1"/>
    <col min="2840" max="2840" width="4.42578125" style="93" customWidth="1"/>
    <col min="2841" max="3063" width="9.140625" style="93"/>
    <col min="3064" max="3068" width="9.140625" style="93" customWidth="1"/>
    <col min="3069" max="3069" width="5.85546875" style="93" customWidth="1"/>
    <col min="3070" max="3070" width="9.28515625" style="93" customWidth="1"/>
    <col min="3071" max="3071" width="7.28515625" style="93" customWidth="1"/>
    <col min="3072" max="3072" width="8.42578125" style="93" customWidth="1"/>
    <col min="3073" max="3073" width="6" style="93" customWidth="1"/>
    <col min="3074" max="3074" width="4.42578125" style="93" customWidth="1"/>
    <col min="3075" max="3075" width="6.28515625" style="93" customWidth="1"/>
    <col min="3076" max="3076" width="4.42578125" style="93" customWidth="1"/>
    <col min="3077" max="3077" width="7" style="93" customWidth="1"/>
    <col min="3078" max="3078" width="4.42578125" style="93" customWidth="1"/>
    <col min="3079" max="3079" width="6.42578125" style="93" customWidth="1"/>
    <col min="3080" max="3080" width="4.42578125" style="93" customWidth="1"/>
    <col min="3081" max="3081" width="5.42578125" style="93" customWidth="1"/>
    <col min="3082" max="3082" width="4.42578125" style="93" customWidth="1"/>
    <col min="3083" max="3083" width="5.28515625" style="93" customWidth="1"/>
    <col min="3084" max="3084" width="4.42578125" style="93" customWidth="1"/>
    <col min="3085" max="3085" width="5.5703125" style="93" customWidth="1"/>
    <col min="3086" max="3086" width="4.42578125" style="93" customWidth="1"/>
    <col min="3087" max="3087" width="4.85546875" style="93" customWidth="1"/>
    <col min="3088" max="3088" width="4.42578125" style="93" customWidth="1"/>
    <col min="3089" max="3089" width="5.85546875" style="93" customWidth="1"/>
    <col min="3090" max="3090" width="4.42578125" style="93" customWidth="1"/>
    <col min="3091" max="3091" width="5.42578125" style="93" customWidth="1"/>
    <col min="3092" max="3092" width="4.42578125" style="93" customWidth="1"/>
    <col min="3093" max="3093" width="5.5703125" style="93" customWidth="1"/>
    <col min="3094" max="3094" width="4.42578125" style="93" customWidth="1"/>
    <col min="3095" max="3095" width="5.140625" style="93" customWidth="1"/>
    <col min="3096" max="3096" width="4.42578125" style="93" customWidth="1"/>
    <col min="3097" max="3319" width="9.140625" style="93"/>
    <col min="3320" max="3324" width="9.140625" style="93" customWidth="1"/>
    <col min="3325" max="3325" width="5.85546875" style="93" customWidth="1"/>
    <col min="3326" max="3326" width="9.28515625" style="93" customWidth="1"/>
    <col min="3327" max="3327" width="7.28515625" style="93" customWidth="1"/>
    <col min="3328" max="3328" width="8.42578125" style="93" customWidth="1"/>
    <col min="3329" max="3329" width="6" style="93" customWidth="1"/>
    <col min="3330" max="3330" width="4.42578125" style="93" customWidth="1"/>
    <col min="3331" max="3331" width="6.28515625" style="93" customWidth="1"/>
    <col min="3332" max="3332" width="4.42578125" style="93" customWidth="1"/>
    <col min="3333" max="3333" width="7" style="93" customWidth="1"/>
    <col min="3334" max="3334" width="4.42578125" style="93" customWidth="1"/>
    <col min="3335" max="3335" width="6.42578125" style="93" customWidth="1"/>
    <col min="3336" max="3336" width="4.42578125" style="93" customWidth="1"/>
    <col min="3337" max="3337" width="5.42578125" style="93" customWidth="1"/>
    <col min="3338" max="3338" width="4.42578125" style="93" customWidth="1"/>
    <col min="3339" max="3339" width="5.28515625" style="93" customWidth="1"/>
    <col min="3340" max="3340" width="4.42578125" style="93" customWidth="1"/>
    <col min="3341" max="3341" width="5.5703125" style="93" customWidth="1"/>
    <col min="3342" max="3342" width="4.42578125" style="93" customWidth="1"/>
    <col min="3343" max="3343" width="4.85546875" style="93" customWidth="1"/>
    <col min="3344" max="3344" width="4.42578125" style="93" customWidth="1"/>
    <col min="3345" max="3345" width="5.85546875" style="93" customWidth="1"/>
    <col min="3346" max="3346" width="4.42578125" style="93" customWidth="1"/>
    <col min="3347" max="3347" width="5.42578125" style="93" customWidth="1"/>
    <col min="3348" max="3348" width="4.42578125" style="93" customWidth="1"/>
    <col min="3349" max="3349" width="5.5703125" style="93" customWidth="1"/>
    <col min="3350" max="3350" width="4.42578125" style="93" customWidth="1"/>
    <col min="3351" max="3351" width="5.140625" style="93" customWidth="1"/>
    <col min="3352" max="3352" width="4.42578125" style="93" customWidth="1"/>
    <col min="3353" max="3575" width="9.140625" style="93"/>
    <col min="3576" max="3580" width="9.140625" style="93" customWidth="1"/>
    <col min="3581" max="3581" width="5.85546875" style="93" customWidth="1"/>
    <col min="3582" max="3582" width="9.28515625" style="93" customWidth="1"/>
    <col min="3583" max="3583" width="7.28515625" style="93" customWidth="1"/>
    <col min="3584" max="3584" width="8.42578125" style="93" customWidth="1"/>
    <col min="3585" max="3585" width="6" style="93" customWidth="1"/>
    <col min="3586" max="3586" width="4.42578125" style="93" customWidth="1"/>
    <col min="3587" max="3587" width="6.28515625" style="93" customWidth="1"/>
    <col min="3588" max="3588" width="4.42578125" style="93" customWidth="1"/>
    <col min="3589" max="3589" width="7" style="93" customWidth="1"/>
    <col min="3590" max="3590" width="4.42578125" style="93" customWidth="1"/>
    <col min="3591" max="3591" width="6.42578125" style="93" customWidth="1"/>
    <col min="3592" max="3592" width="4.42578125" style="93" customWidth="1"/>
    <col min="3593" max="3593" width="5.42578125" style="93" customWidth="1"/>
    <col min="3594" max="3594" width="4.42578125" style="93" customWidth="1"/>
    <col min="3595" max="3595" width="5.28515625" style="93" customWidth="1"/>
    <col min="3596" max="3596" width="4.42578125" style="93" customWidth="1"/>
    <col min="3597" max="3597" width="5.5703125" style="93" customWidth="1"/>
    <col min="3598" max="3598" width="4.42578125" style="93" customWidth="1"/>
    <col min="3599" max="3599" width="4.85546875" style="93" customWidth="1"/>
    <col min="3600" max="3600" width="4.42578125" style="93" customWidth="1"/>
    <col min="3601" max="3601" width="5.85546875" style="93" customWidth="1"/>
    <col min="3602" max="3602" width="4.42578125" style="93" customWidth="1"/>
    <col min="3603" max="3603" width="5.42578125" style="93" customWidth="1"/>
    <col min="3604" max="3604" width="4.42578125" style="93" customWidth="1"/>
    <col min="3605" max="3605" width="5.5703125" style="93" customWidth="1"/>
    <col min="3606" max="3606" width="4.42578125" style="93" customWidth="1"/>
    <col min="3607" max="3607" width="5.140625" style="93" customWidth="1"/>
    <col min="3608" max="3608" width="4.42578125" style="93" customWidth="1"/>
    <col min="3609" max="3831" width="9.140625" style="93"/>
    <col min="3832" max="3836" width="9.140625" style="93" customWidth="1"/>
    <col min="3837" max="3837" width="5.85546875" style="93" customWidth="1"/>
    <col min="3838" max="3838" width="9.28515625" style="93" customWidth="1"/>
    <col min="3839" max="3839" width="7.28515625" style="93" customWidth="1"/>
    <col min="3840" max="3840" width="8.42578125" style="93" customWidth="1"/>
    <col min="3841" max="3841" width="6" style="93" customWidth="1"/>
    <col min="3842" max="3842" width="4.42578125" style="93" customWidth="1"/>
    <col min="3843" max="3843" width="6.28515625" style="93" customWidth="1"/>
    <col min="3844" max="3844" width="4.42578125" style="93" customWidth="1"/>
    <col min="3845" max="3845" width="7" style="93" customWidth="1"/>
    <col min="3846" max="3846" width="4.42578125" style="93" customWidth="1"/>
    <col min="3847" max="3847" width="6.42578125" style="93" customWidth="1"/>
    <col min="3848" max="3848" width="4.42578125" style="93" customWidth="1"/>
    <col min="3849" max="3849" width="5.42578125" style="93" customWidth="1"/>
    <col min="3850" max="3850" width="4.42578125" style="93" customWidth="1"/>
    <col min="3851" max="3851" width="5.28515625" style="93" customWidth="1"/>
    <col min="3852" max="3852" width="4.42578125" style="93" customWidth="1"/>
    <col min="3853" max="3853" width="5.5703125" style="93" customWidth="1"/>
    <col min="3854" max="3854" width="4.42578125" style="93" customWidth="1"/>
    <col min="3855" max="3855" width="4.85546875" style="93" customWidth="1"/>
    <col min="3856" max="3856" width="4.42578125" style="93" customWidth="1"/>
    <col min="3857" max="3857" width="5.85546875" style="93" customWidth="1"/>
    <col min="3858" max="3858" width="4.42578125" style="93" customWidth="1"/>
    <col min="3859" max="3859" width="5.42578125" style="93" customWidth="1"/>
    <col min="3860" max="3860" width="4.42578125" style="93" customWidth="1"/>
    <col min="3861" max="3861" width="5.5703125" style="93" customWidth="1"/>
    <col min="3862" max="3862" width="4.42578125" style="93" customWidth="1"/>
    <col min="3863" max="3863" width="5.140625" style="93" customWidth="1"/>
    <col min="3864" max="3864" width="4.42578125" style="93" customWidth="1"/>
    <col min="3865" max="4087" width="9.140625" style="93"/>
    <col min="4088" max="4092" width="9.140625" style="93" customWidth="1"/>
    <col min="4093" max="4093" width="5.85546875" style="93" customWidth="1"/>
    <col min="4094" max="4094" width="9.28515625" style="93" customWidth="1"/>
    <col min="4095" max="4095" width="7.28515625" style="93" customWidth="1"/>
    <col min="4096" max="4096" width="8.42578125" style="93" customWidth="1"/>
    <col min="4097" max="4097" width="6" style="93" customWidth="1"/>
    <col min="4098" max="4098" width="4.42578125" style="93" customWidth="1"/>
    <col min="4099" max="4099" width="6.28515625" style="93" customWidth="1"/>
    <col min="4100" max="4100" width="4.42578125" style="93" customWidth="1"/>
    <col min="4101" max="4101" width="7" style="93" customWidth="1"/>
    <col min="4102" max="4102" width="4.42578125" style="93" customWidth="1"/>
    <col min="4103" max="4103" width="6.42578125" style="93" customWidth="1"/>
    <col min="4104" max="4104" width="4.42578125" style="93" customWidth="1"/>
    <col min="4105" max="4105" width="5.42578125" style="93" customWidth="1"/>
    <col min="4106" max="4106" width="4.42578125" style="93" customWidth="1"/>
    <col min="4107" max="4107" width="5.28515625" style="93" customWidth="1"/>
    <col min="4108" max="4108" width="4.42578125" style="93" customWidth="1"/>
    <col min="4109" max="4109" width="5.5703125" style="93" customWidth="1"/>
    <col min="4110" max="4110" width="4.42578125" style="93" customWidth="1"/>
    <col min="4111" max="4111" width="4.85546875" style="93" customWidth="1"/>
    <col min="4112" max="4112" width="4.42578125" style="93" customWidth="1"/>
    <col min="4113" max="4113" width="5.85546875" style="93" customWidth="1"/>
    <col min="4114" max="4114" width="4.42578125" style="93" customWidth="1"/>
    <col min="4115" max="4115" width="5.42578125" style="93" customWidth="1"/>
    <col min="4116" max="4116" width="4.42578125" style="93" customWidth="1"/>
    <col min="4117" max="4117" width="5.5703125" style="93" customWidth="1"/>
    <col min="4118" max="4118" width="4.42578125" style="93" customWidth="1"/>
    <col min="4119" max="4119" width="5.140625" style="93" customWidth="1"/>
    <col min="4120" max="4120" width="4.42578125" style="93" customWidth="1"/>
    <col min="4121" max="4343" width="9.140625" style="93"/>
    <col min="4344" max="4348" width="9.140625" style="93" customWidth="1"/>
    <col min="4349" max="4349" width="5.85546875" style="93" customWidth="1"/>
    <col min="4350" max="4350" width="9.28515625" style="93" customWidth="1"/>
    <col min="4351" max="4351" width="7.28515625" style="93" customWidth="1"/>
    <col min="4352" max="4352" width="8.42578125" style="93" customWidth="1"/>
    <col min="4353" max="4353" width="6" style="93" customWidth="1"/>
    <col min="4354" max="4354" width="4.42578125" style="93" customWidth="1"/>
    <col min="4355" max="4355" width="6.28515625" style="93" customWidth="1"/>
    <col min="4356" max="4356" width="4.42578125" style="93" customWidth="1"/>
    <col min="4357" max="4357" width="7" style="93" customWidth="1"/>
    <col min="4358" max="4358" width="4.42578125" style="93" customWidth="1"/>
    <col min="4359" max="4359" width="6.42578125" style="93" customWidth="1"/>
    <col min="4360" max="4360" width="4.42578125" style="93" customWidth="1"/>
    <col min="4361" max="4361" width="5.42578125" style="93" customWidth="1"/>
    <col min="4362" max="4362" width="4.42578125" style="93" customWidth="1"/>
    <col min="4363" max="4363" width="5.28515625" style="93" customWidth="1"/>
    <col min="4364" max="4364" width="4.42578125" style="93" customWidth="1"/>
    <col min="4365" max="4365" width="5.5703125" style="93" customWidth="1"/>
    <col min="4366" max="4366" width="4.42578125" style="93" customWidth="1"/>
    <col min="4367" max="4367" width="4.85546875" style="93" customWidth="1"/>
    <col min="4368" max="4368" width="4.42578125" style="93" customWidth="1"/>
    <col min="4369" max="4369" width="5.85546875" style="93" customWidth="1"/>
    <col min="4370" max="4370" width="4.42578125" style="93" customWidth="1"/>
    <col min="4371" max="4371" width="5.42578125" style="93" customWidth="1"/>
    <col min="4372" max="4372" width="4.42578125" style="93" customWidth="1"/>
    <col min="4373" max="4373" width="5.5703125" style="93" customWidth="1"/>
    <col min="4374" max="4374" width="4.42578125" style="93" customWidth="1"/>
    <col min="4375" max="4375" width="5.140625" style="93" customWidth="1"/>
    <col min="4376" max="4376" width="4.42578125" style="93" customWidth="1"/>
    <col min="4377" max="4599" width="9.140625" style="93"/>
    <col min="4600" max="4604" width="9.140625" style="93" customWidth="1"/>
    <col min="4605" max="4605" width="5.85546875" style="93" customWidth="1"/>
    <col min="4606" max="4606" width="9.28515625" style="93" customWidth="1"/>
    <col min="4607" max="4607" width="7.28515625" style="93" customWidth="1"/>
    <col min="4608" max="4608" width="8.42578125" style="93" customWidth="1"/>
    <col min="4609" max="4609" width="6" style="93" customWidth="1"/>
    <col min="4610" max="4610" width="4.42578125" style="93" customWidth="1"/>
    <col min="4611" max="4611" width="6.28515625" style="93" customWidth="1"/>
    <col min="4612" max="4612" width="4.42578125" style="93" customWidth="1"/>
    <col min="4613" max="4613" width="7" style="93" customWidth="1"/>
    <col min="4614" max="4614" width="4.42578125" style="93" customWidth="1"/>
    <col min="4615" max="4615" width="6.42578125" style="93" customWidth="1"/>
    <col min="4616" max="4616" width="4.42578125" style="93" customWidth="1"/>
    <col min="4617" max="4617" width="5.42578125" style="93" customWidth="1"/>
    <col min="4618" max="4618" width="4.42578125" style="93" customWidth="1"/>
    <col min="4619" max="4619" width="5.28515625" style="93" customWidth="1"/>
    <col min="4620" max="4620" width="4.42578125" style="93" customWidth="1"/>
    <col min="4621" max="4621" width="5.5703125" style="93" customWidth="1"/>
    <col min="4622" max="4622" width="4.42578125" style="93" customWidth="1"/>
    <col min="4623" max="4623" width="4.85546875" style="93" customWidth="1"/>
    <col min="4624" max="4624" width="4.42578125" style="93" customWidth="1"/>
    <col min="4625" max="4625" width="5.85546875" style="93" customWidth="1"/>
    <col min="4626" max="4626" width="4.42578125" style="93" customWidth="1"/>
    <col min="4627" max="4627" width="5.42578125" style="93" customWidth="1"/>
    <col min="4628" max="4628" width="4.42578125" style="93" customWidth="1"/>
    <col min="4629" max="4629" width="5.5703125" style="93" customWidth="1"/>
    <col min="4630" max="4630" width="4.42578125" style="93" customWidth="1"/>
    <col min="4631" max="4631" width="5.140625" style="93" customWidth="1"/>
    <col min="4632" max="4632" width="4.42578125" style="93" customWidth="1"/>
    <col min="4633" max="4855" width="9.140625" style="93"/>
    <col min="4856" max="4860" width="9.140625" style="93" customWidth="1"/>
    <col min="4861" max="4861" width="5.85546875" style="93" customWidth="1"/>
    <col min="4862" max="4862" width="9.28515625" style="93" customWidth="1"/>
    <col min="4863" max="4863" width="7.28515625" style="93" customWidth="1"/>
    <col min="4864" max="4864" width="8.42578125" style="93" customWidth="1"/>
    <col min="4865" max="4865" width="6" style="93" customWidth="1"/>
    <col min="4866" max="4866" width="4.42578125" style="93" customWidth="1"/>
    <col min="4867" max="4867" width="6.28515625" style="93" customWidth="1"/>
    <col min="4868" max="4868" width="4.42578125" style="93" customWidth="1"/>
    <col min="4869" max="4869" width="7" style="93" customWidth="1"/>
    <col min="4870" max="4870" width="4.42578125" style="93" customWidth="1"/>
    <col min="4871" max="4871" width="6.42578125" style="93" customWidth="1"/>
    <col min="4872" max="4872" width="4.42578125" style="93" customWidth="1"/>
    <col min="4873" max="4873" width="5.42578125" style="93" customWidth="1"/>
    <col min="4874" max="4874" width="4.42578125" style="93" customWidth="1"/>
    <col min="4875" max="4875" width="5.28515625" style="93" customWidth="1"/>
    <col min="4876" max="4876" width="4.42578125" style="93" customWidth="1"/>
    <col min="4877" max="4877" width="5.5703125" style="93" customWidth="1"/>
    <col min="4878" max="4878" width="4.42578125" style="93" customWidth="1"/>
    <col min="4879" max="4879" width="4.85546875" style="93" customWidth="1"/>
    <col min="4880" max="4880" width="4.42578125" style="93" customWidth="1"/>
    <col min="4881" max="4881" width="5.85546875" style="93" customWidth="1"/>
    <col min="4882" max="4882" width="4.42578125" style="93" customWidth="1"/>
    <col min="4883" max="4883" width="5.42578125" style="93" customWidth="1"/>
    <col min="4884" max="4884" width="4.42578125" style="93" customWidth="1"/>
    <col min="4885" max="4885" width="5.5703125" style="93" customWidth="1"/>
    <col min="4886" max="4886" width="4.42578125" style="93" customWidth="1"/>
    <col min="4887" max="4887" width="5.140625" style="93" customWidth="1"/>
    <col min="4888" max="4888" width="4.42578125" style="93" customWidth="1"/>
    <col min="4889" max="5111" width="9.140625" style="93"/>
    <col min="5112" max="5116" width="9.140625" style="93" customWidth="1"/>
    <col min="5117" max="5117" width="5.85546875" style="93" customWidth="1"/>
    <col min="5118" max="5118" width="9.28515625" style="93" customWidth="1"/>
    <col min="5119" max="5119" width="7.28515625" style="93" customWidth="1"/>
    <col min="5120" max="5120" width="8.42578125" style="93" customWidth="1"/>
    <col min="5121" max="5121" width="6" style="93" customWidth="1"/>
    <col min="5122" max="5122" width="4.42578125" style="93" customWidth="1"/>
    <col min="5123" max="5123" width="6.28515625" style="93" customWidth="1"/>
    <col min="5124" max="5124" width="4.42578125" style="93" customWidth="1"/>
    <col min="5125" max="5125" width="7" style="93" customWidth="1"/>
    <col min="5126" max="5126" width="4.42578125" style="93" customWidth="1"/>
    <col min="5127" max="5127" width="6.42578125" style="93" customWidth="1"/>
    <col min="5128" max="5128" width="4.42578125" style="93" customWidth="1"/>
    <col min="5129" max="5129" width="5.42578125" style="93" customWidth="1"/>
    <col min="5130" max="5130" width="4.42578125" style="93" customWidth="1"/>
    <col min="5131" max="5131" width="5.28515625" style="93" customWidth="1"/>
    <col min="5132" max="5132" width="4.42578125" style="93" customWidth="1"/>
    <col min="5133" max="5133" width="5.5703125" style="93" customWidth="1"/>
    <col min="5134" max="5134" width="4.42578125" style="93" customWidth="1"/>
    <col min="5135" max="5135" width="4.85546875" style="93" customWidth="1"/>
    <col min="5136" max="5136" width="4.42578125" style="93" customWidth="1"/>
    <col min="5137" max="5137" width="5.85546875" style="93" customWidth="1"/>
    <col min="5138" max="5138" width="4.42578125" style="93" customWidth="1"/>
    <col min="5139" max="5139" width="5.42578125" style="93" customWidth="1"/>
    <col min="5140" max="5140" width="4.42578125" style="93" customWidth="1"/>
    <col min="5141" max="5141" width="5.5703125" style="93" customWidth="1"/>
    <col min="5142" max="5142" width="4.42578125" style="93" customWidth="1"/>
    <col min="5143" max="5143" width="5.140625" style="93" customWidth="1"/>
    <col min="5144" max="5144" width="4.42578125" style="93" customWidth="1"/>
    <col min="5145" max="5367" width="9.140625" style="93"/>
    <col min="5368" max="5372" width="9.140625" style="93" customWidth="1"/>
    <col min="5373" max="5373" width="5.85546875" style="93" customWidth="1"/>
    <col min="5374" max="5374" width="9.28515625" style="93" customWidth="1"/>
    <col min="5375" max="5375" width="7.28515625" style="93" customWidth="1"/>
    <col min="5376" max="5376" width="8.42578125" style="93" customWidth="1"/>
    <col min="5377" max="5377" width="6" style="93" customWidth="1"/>
    <col min="5378" max="5378" width="4.42578125" style="93" customWidth="1"/>
    <col min="5379" max="5379" width="6.28515625" style="93" customWidth="1"/>
    <col min="5380" max="5380" width="4.42578125" style="93" customWidth="1"/>
    <col min="5381" max="5381" width="7" style="93" customWidth="1"/>
    <col min="5382" max="5382" width="4.42578125" style="93" customWidth="1"/>
    <col min="5383" max="5383" width="6.42578125" style="93" customWidth="1"/>
    <col min="5384" max="5384" width="4.42578125" style="93" customWidth="1"/>
    <col min="5385" max="5385" width="5.42578125" style="93" customWidth="1"/>
    <col min="5386" max="5386" width="4.42578125" style="93" customWidth="1"/>
    <col min="5387" max="5387" width="5.28515625" style="93" customWidth="1"/>
    <col min="5388" max="5388" width="4.42578125" style="93" customWidth="1"/>
    <col min="5389" max="5389" width="5.5703125" style="93" customWidth="1"/>
    <col min="5390" max="5390" width="4.42578125" style="93" customWidth="1"/>
    <col min="5391" max="5391" width="4.85546875" style="93" customWidth="1"/>
    <col min="5392" max="5392" width="4.42578125" style="93" customWidth="1"/>
    <col min="5393" max="5393" width="5.85546875" style="93" customWidth="1"/>
    <col min="5394" max="5394" width="4.42578125" style="93" customWidth="1"/>
    <col min="5395" max="5395" width="5.42578125" style="93" customWidth="1"/>
    <col min="5396" max="5396" width="4.42578125" style="93" customWidth="1"/>
    <col min="5397" max="5397" width="5.5703125" style="93" customWidth="1"/>
    <col min="5398" max="5398" width="4.42578125" style="93" customWidth="1"/>
    <col min="5399" max="5399" width="5.140625" style="93" customWidth="1"/>
    <col min="5400" max="5400" width="4.42578125" style="93" customWidth="1"/>
    <col min="5401" max="5623" width="9.140625" style="93"/>
    <col min="5624" max="5628" width="9.140625" style="93" customWidth="1"/>
    <col min="5629" max="5629" width="5.85546875" style="93" customWidth="1"/>
    <col min="5630" max="5630" width="9.28515625" style="93" customWidth="1"/>
    <col min="5631" max="5631" width="7.28515625" style="93" customWidth="1"/>
    <col min="5632" max="5632" width="8.42578125" style="93" customWidth="1"/>
    <col min="5633" max="5633" width="6" style="93" customWidth="1"/>
    <col min="5634" max="5634" width="4.42578125" style="93" customWidth="1"/>
    <col min="5635" max="5635" width="6.28515625" style="93" customWidth="1"/>
    <col min="5636" max="5636" width="4.42578125" style="93" customWidth="1"/>
    <col min="5637" max="5637" width="7" style="93" customWidth="1"/>
    <col min="5638" max="5638" width="4.42578125" style="93" customWidth="1"/>
    <col min="5639" max="5639" width="6.42578125" style="93" customWidth="1"/>
    <col min="5640" max="5640" width="4.42578125" style="93" customWidth="1"/>
    <col min="5641" max="5641" width="5.42578125" style="93" customWidth="1"/>
    <col min="5642" max="5642" width="4.42578125" style="93" customWidth="1"/>
    <col min="5643" max="5643" width="5.28515625" style="93" customWidth="1"/>
    <col min="5644" max="5644" width="4.42578125" style="93" customWidth="1"/>
    <col min="5645" max="5645" width="5.5703125" style="93" customWidth="1"/>
    <col min="5646" max="5646" width="4.42578125" style="93" customWidth="1"/>
    <col min="5647" max="5647" width="4.85546875" style="93" customWidth="1"/>
    <col min="5648" max="5648" width="4.42578125" style="93" customWidth="1"/>
    <col min="5649" max="5649" width="5.85546875" style="93" customWidth="1"/>
    <col min="5650" max="5650" width="4.42578125" style="93" customWidth="1"/>
    <col min="5651" max="5651" width="5.42578125" style="93" customWidth="1"/>
    <col min="5652" max="5652" width="4.42578125" style="93" customWidth="1"/>
    <col min="5653" max="5653" width="5.5703125" style="93" customWidth="1"/>
    <col min="5654" max="5654" width="4.42578125" style="93" customWidth="1"/>
    <col min="5655" max="5655" width="5.140625" style="93" customWidth="1"/>
    <col min="5656" max="5656" width="4.42578125" style="93" customWidth="1"/>
    <col min="5657" max="5879" width="9.140625" style="93"/>
    <col min="5880" max="5884" width="9.140625" style="93" customWidth="1"/>
    <col min="5885" max="5885" width="5.85546875" style="93" customWidth="1"/>
    <col min="5886" max="5886" width="9.28515625" style="93" customWidth="1"/>
    <col min="5887" max="5887" width="7.28515625" style="93" customWidth="1"/>
    <col min="5888" max="5888" width="8.42578125" style="93" customWidth="1"/>
    <col min="5889" max="5889" width="6" style="93" customWidth="1"/>
    <col min="5890" max="5890" width="4.42578125" style="93" customWidth="1"/>
    <col min="5891" max="5891" width="6.28515625" style="93" customWidth="1"/>
    <col min="5892" max="5892" width="4.42578125" style="93" customWidth="1"/>
    <col min="5893" max="5893" width="7" style="93" customWidth="1"/>
    <col min="5894" max="5894" width="4.42578125" style="93" customWidth="1"/>
    <col min="5895" max="5895" width="6.42578125" style="93" customWidth="1"/>
    <col min="5896" max="5896" width="4.42578125" style="93" customWidth="1"/>
    <col min="5897" max="5897" width="5.42578125" style="93" customWidth="1"/>
    <col min="5898" max="5898" width="4.42578125" style="93" customWidth="1"/>
    <col min="5899" max="5899" width="5.28515625" style="93" customWidth="1"/>
    <col min="5900" max="5900" width="4.42578125" style="93" customWidth="1"/>
    <col min="5901" max="5901" width="5.5703125" style="93" customWidth="1"/>
    <col min="5902" max="5902" width="4.42578125" style="93" customWidth="1"/>
    <col min="5903" max="5903" width="4.85546875" style="93" customWidth="1"/>
    <col min="5904" max="5904" width="4.42578125" style="93" customWidth="1"/>
    <col min="5905" max="5905" width="5.85546875" style="93" customWidth="1"/>
    <col min="5906" max="5906" width="4.42578125" style="93" customWidth="1"/>
    <col min="5907" max="5907" width="5.42578125" style="93" customWidth="1"/>
    <col min="5908" max="5908" width="4.42578125" style="93" customWidth="1"/>
    <col min="5909" max="5909" width="5.5703125" style="93" customWidth="1"/>
    <col min="5910" max="5910" width="4.42578125" style="93" customWidth="1"/>
    <col min="5911" max="5911" width="5.140625" style="93" customWidth="1"/>
    <col min="5912" max="5912" width="4.42578125" style="93" customWidth="1"/>
    <col min="5913" max="6135" width="9.140625" style="93"/>
    <col min="6136" max="6140" width="9.140625" style="93" customWidth="1"/>
    <col min="6141" max="6141" width="5.85546875" style="93" customWidth="1"/>
    <col min="6142" max="6142" width="9.28515625" style="93" customWidth="1"/>
    <col min="6143" max="6143" width="7.28515625" style="93" customWidth="1"/>
    <col min="6144" max="6144" width="8.42578125" style="93" customWidth="1"/>
    <col min="6145" max="6145" width="6" style="93" customWidth="1"/>
    <col min="6146" max="6146" width="4.42578125" style="93" customWidth="1"/>
    <col min="6147" max="6147" width="6.28515625" style="93" customWidth="1"/>
    <col min="6148" max="6148" width="4.42578125" style="93" customWidth="1"/>
    <col min="6149" max="6149" width="7" style="93" customWidth="1"/>
    <col min="6150" max="6150" width="4.42578125" style="93" customWidth="1"/>
    <col min="6151" max="6151" width="6.42578125" style="93" customWidth="1"/>
    <col min="6152" max="6152" width="4.42578125" style="93" customWidth="1"/>
    <col min="6153" max="6153" width="5.42578125" style="93" customWidth="1"/>
    <col min="6154" max="6154" width="4.42578125" style="93" customWidth="1"/>
    <col min="6155" max="6155" width="5.28515625" style="93" customWidth="1"/>
    <col min="6156" max="6156" width="4.42578125" style="93" customWidth="1"/>
    <col min="6157" max="6157" width="5.5703125" style="93" customWidth="1"/>
    <col min="6158" max="6158" width="4.42578125" style="93" customWidth="1"/>
    <col min="6159" max="6159" width="4.85546875" style="93" customWidth="1"/>
    <col min="6160" max="6160" width="4.42578125" style="93" customWidth="1"/>
    <col min="6161" max="6161" width="5.85546875" style="93" customWidth="1"/>
    <col min="6162" max="6162" width="4.42578125" style="93" customWidth="1"/>
    <col min="6163" max="6163" width="5.42578125" style="93" customWidth="1"/>
    <col min="6164" max="6164" width="4.42578125" style="93" customWidth="1"/>
    <col min="6165" max="6165" width="5.5703125" style="93" customWidth="1"/>
    <col min="6166" max="6166" width="4.42578125" style="93" customWidth="1"/>
    <col min="6167" max="6167" width="5.140625" style="93" customWidth="1"/>
    <col min="6168" max="6168" width="4.42578125" style="93" customWidth="1"/>
    <col min="6169" max="6391" width="9.140625" style="93"/>
    <col min="6392" max="6396" width="9.140625" style="93" customWidth="1"/>
    <col min="6397" max="6397" width="5.85546875" style="93" customWidth="1"/>
    <col min="6398" max="6398" width="9.28515625" style="93" customWidth="1"/>
    <col min="6399" max="6399" width="7.28515625" style="93" customWidth="1"/>
    <col min="6400" max="6400" width="8.42578125" style="93" customWidth="1"/>
    <col min="6401" max="6401" width="6" style="93" customWidth="1"/>
    <col min="6402" max="6402" width="4.42578125" style="93" customWidth="1"/>
    <col min="6403" max="6403" width="6.28515625" style="93" customWidth="1"/>
    <col min="6404" max="6404" width="4.42578125" style="93" customWidth="1"/>
    <col min="6405" max="6405" width="7" style="93" customWidth="1"/>
    <col min="6406" max="6406" width="4.42578125" style="93" customWidth="1"/>
    <col min="6407" max="6407" width="6.42578125" style="93" customWidth="1"/>
    <col min="6408" max="6408" width="4.42578125" style="93" customWidth="1"/>
    <col min="6409" max="6409" width="5.42578125" style="93" customWidth="1"/>
    <col min="6410" max="6410" width="4.42578125" style="93" customWidth="1"/>
    <col min="6411" max="6411" width="5.28515625" style="93" customWidth="1"/>
    <col min="6412" max="6412" width="4.42578125" style="93" customWidth="1"/>
    <col min="6413" max="6413" width="5.5703125" style="93" customWidth="1"/>
    <col min="6414" max="6414" width="4.42578125" style="93" customWidth="1"/>
    <col min="6415" max="6415" width="4.85546875" style="93" customWidth="1"/>
    <col min="6416" max="6416" width="4.42578125" style="93" customWidth="1"/>
    <col min="6417" max="6417" width="5.85546875" style="93" customWidth="1"/>
    <col min="6418" max="6418" width="4.42578125" style="93" customWidth="1"/>
    <col min="6419" max="6419" width="5.42578125" style="93" customWidth="1"/>
    <col min="6420" max="6420" width="4.42578125" style="93" customWidth="1"/>
    <col min="6421" max="6421" width="5.5703125" style="93" customWidth="1"/>
    <col min="6422" max="6422" width="4.42578125" style="93" customWidth="1"/>
    <col min="6423" max="6423" width="5.140625" style="93" customWidth="1"/>
    <col min="6424" max="6424" width="4.42578125" style="93" customWidth="1"/>
    <col min="6425" max="6647" width="9.140625" style="93"/>
    <col min="6648" max="6652" width="9.140625" style="93" customWidth="1"/>
    <col min="6653" max="6653" width="5.85546875" style="93" customWidth="1"/>
    <col min="6654" max="6654" width="9.28515625" style="93" customWidth="1"/>
    <col min="6655" max="6655" width="7.28515625" style="93" customWidth="1"/>
    <col min="6656" max="6656" width="8.42578125" style="93" customWidth="1"/>
    <col min="6657" max="6657" width="6" style="93" customWidth="1"/>
    <col min="6658" max="6658" width="4.42578125" style="93" customWidth="1"/>
    <col min="6659" max="6659" width="6.28515625" style="93" customWidth="1"/>
    <col min="6660" max="6660" width="4.42578125" style="93" customWidth="1"/>
    <col min="6661" max="6661" width="7" style="93" customWidth="1"/>
    <col min="6662" max="6662" width="4.42578125" style="93" customWidth="1"/>
    <col min="6663" max="6663" width="6.42578125" style="93" customWidth="1"/>
    <col min="6664" max="6664" width="4.42578125" style="93" customWidth="1"/>
    <col min="6665" max="6665" width="5.42578125" style="93" customWidth="1"/>
    <col min="6666" max="6666" width="4.42578125" style="93" customWidth="1"/>
    <col min="6667" max="6667" width="5.28515625" style="93" customWidth="1"/>
    <col min="6668" max="6668" width="4.42578125" style="93" customWidth="1"/>
    <col min="6669" max="6669" width="5.5703125" style="93" customWidth="1"/>
    <col min="6670" max="6670" width="4.42578125" style="93" customWidth="1"/>
    <col min="6671" max="6671" width="4.85546875" style="93" customWidth="1"/>
    <col min="6672" max="6672" width="4.42578125" style="93" customWidth="1"/>
    <col min="6673" max="6673" width="5.85546875" style="93" customWidth="1"/>
    <col min="6674" max="6674" width="4.42578125" style="93" customWidth="1"/>
    <col min="6675" max="6675" width="5.42578125" style="93" customWidth="1"/>
    <col min="6676" max="6676" width="4.42578125" style="93" customWidth="1"/>
    <col min="6677" max="6677" width="5.5703125" style="93" customWidth="1"/>
    <col min="6678" max="6678" width="4.42578125" style="93" customWidth="1"/>
    <col min="6679" max="6679" width="5.140625" style="93" customWidth="1"/>
    <col min="6680" max="6680" width="4.42578125" style="93" customWidth="1"/>
    <col min="6681" max="6903" width="9.140625" style="93"/>
    <col min="6904" max="6908" width="9.140625" style="93" customWidth="1"/>
    <col min="6909" max="6909" width="5.85546875" style="93" customWidth="1"/>
    <col min="6910" max="6910" width="9.28515625" style="93" customWidth="1"/>
    <col min="6911" max="6911" width="7.28515625" style="93" customWidth="1"/>
    <col min="6912" max="6912" width="8.42578125" style="93" customWidth="1"/>
    <col min="6913" max="6913" width="6" style="93" customWidth="1"/>
    <col min="6914" max="6914" width="4.42578125" style="93" customWidth="1"/>
    <col min="6915" max="6915" width="6.28515625" style="93" customWidth="1"/>
    <col min="6916" max="6916" width="4.42578125" style="93" customWidth="1"/>
    <col min="6917" max="6917" width="7" style="93" customWidth="1"/>
    <col min="6918" max="6918" width="4.42578125" style="93" customWidth="1"/>
    <col min="6919" max="6919" width="6.42578125" style="93" customWidth="1"/>
    <col min="6920" max="6920" width="4.42578125" style="93" customWidth="1"/>
    <col min="6921" max="6921" width="5.42578125" style="93" customWidth="1"/>
    <col min="6922" max="6922" width="4.42578125" style="93" customWidth="1"/>
    <col min="6923" max="6923" width="5.28515625" style="93" customWidth="1"/>
    <col min="6924" max="6924" width="4.42578125" style="93" customWidth="1"/>
    <col min="6925" max="6925" width="5.5703125" style="93" customWidth="1"/>
    <col min="6926" max="6926" width="4.42578125" style="93" customWidth="1"/>
    <col min="6927" max="6927" width="4.85546875" style="93" customWidth="1"/>
    <col min="6928" max="6928" width="4.42578125" style="93" customWidth="1"/>
    <col min="6929" max="6929" width="5.85546875" style="93" customWidth="1"/>
    <col min="6930" max="6930" width="4.42578125" style="93" customWidth="1"/>
    <col min="6931" max="6931" width="5.42578125" style="93" customWidth="1"/>
    <col min="6932" max="6932" width="4.42578125" style="93" customWidth="1"/>
    <col min="6933" max="6933" width="5.5703125" style="93" customWidth="1"/>
    <col min="6934" max="6934" width="4.42578125" style="93" customWidth="1"/>
    <col min="6935" max="6935" width="5.140625" style="93" customWidth="1"/>
    <col min="6936" max="6936" width="4.42578125" style="93" customWidth="1"/>
    <col min="6937" max="7159" width="9.140625" style="93"/>
    <col min="7160" max="7164" width="9.140625" style="93" customWidth="1"/>
    <col min="7165" max="7165" width="5.85546875" style="93" customWidth="1"/>
    <col min="7166" max="7166" width="9.28515625" style="93" customWidth="1"/>
    <col min="7167" max="7167" width="7.28515625" style="93" customWidth="1"/>
    <col min="7168" max="7168" width="8.42578125" style="93" customWidth="1"/>
    <col min="7169" max="7169" width="6" style="93" customWidth="1"/>
    <col min="7170" max="7170" width="4.42578125" style="93" customWidth="1"/>
    <col min="7171" max="7171" width="6.28515625" style="93" customWidth="1"/>
    <col min="7172" max="7172" width="4.42578125" style="93" customWidth="1"/>
    <col min="7173" max="7173" width="7" style="93" customWidth="1"/>
    <col min="7174" max="7174" width="4.42578125" style="93" customWidth="1"/>
    <col min="7175" max="7175" width="6.42578125" style="93" customWidth="1"/>
    <col min="7176" max="7176" width="4.42578125" style="93" customWidth="1"/>
    <col min="7177" max="7177" width="5.42578125" style="93" customWidth="1"/>
    <col min="7178" max="7178" width="4.42578125" style="93" customWidth="1"/>
    <col min="7179" max="7179" width="5.28515625" style="93" customWidth="1"/>
    <col min="7180" max="7180" width="4.42578125" style="93" customWidth="1"/>
    <col min="7181" max="7181" width="5.5703125" style="93" customWidth="1"/>
    <col min="7182" max="7182" width="4.42578125" style="93" customWidth="1"/>
    <col min="7183" max="7183" width="4.85546875" style="93" customWidth="1"/>
    <col min="7184" max="7184" width="4.42578125" style="93" customWidth="1"/>
    <col min="7185" max="7185" width="5.85546875" style="93" customWidth="1"/>
    <col min="7186" max="7186" width="4.42578125" style="93" customWidth="1"/>
    <col min="7187" max="7187" width="5.42578125" style="93" customWidth="1"/>
    <col min="7188" max="7188" width="4.42578125" style="93" customWidth="1"/>
    <col min="7189" max="7189" width="5.5703125" style="93" customWidth="1"/>
    <col min="7190" max="7190" width="4.42578125" style="93" customWidth="1"/>
    <col min="7191" max="7191" width="5.140625" style="93" customWidth="1"/>
    <col min="7192" max="7192" width="4.42578125" style="93" customWidth="1"/>
    <col min="7193" max="7415" width="9.140625" style="93"/>
    <col min="7416" max="7420" width="9.140625" style="93" customWidth="1"/>
    <col min="7421" max="7421" width="5.85546875" style="93" customWidth="1"/>
    <col min="7422" max="7422" width="9.28515625" style="93" customWidth="1"/>
    <col min="7423" max="7423" width="7.28515625" style="93" customWidth="1"/>
    <col min="7424" max="7424" width="8.42578125" style="93" customWidth="1"/>
    <col min="7425" max="7425" width="6" style="93" customWidth="1"/>
    <col min="7426" max="7426" width="4.42578125" style="93" customWidth="1"/>
    <col min="7427" max="7427" width="6.28515625" style="93" customWidth="1"/>
    <col min="7428" max="7428" width="4.42578125" style="93" customWidth="1"/>
    <col min="7429" max="7429" width="7" style="93" customWidth="1"/>
    <col min="7430" max="7430" width="4.42578125" style="93" customWidth="1"/>
    <col min="7431" max="7431" width="6.42578125" style="93" customWidth="1"/>
    <col min="7432" max="7432" width="4.42578125" style="93" customWidth="1"/>
    <col min="7433" max="7433" width="5.42578125" style="93" customWidth="1"/>
    <col min="7434" max="7434" width="4.42578125" style="93" customWidth="1"/>
    <col min="7435" max="7435" width="5.28515625" style="93" customWidth="1"/>
    <col min="7436" max="7436" width="4.42578125" style="93" customWidth="1"/>
    <col min="7437" max="7437" width="5.5703125" style="93" customWidth="1"/>
    <col min="7438" max="7438" width="4.42578125" style="93" customWidth="1"/>
    <col min="7439" max="7439" width="4.85546875" style="93" customWidth="1"/>
    <col min="7440" max="7440" width="4.42578125" style="93" customWidth="1"/>
    <col min="7441" max="7441" width="5.85546875" style="93" customWidth="1"/>
    <col min="7442" max="7442" width="4.42578125" style="93" customWidth="1"/>
    <col min="7443" max="7443" width="5.42578125" style="93" customWidth="1"/>
    <col min="7444" max="7444" width="4.42578125" style="93" customWidth="1"/>
    <col min="7445" max="7445" width="5.5703125" style="93" customWidth="1"/>
    <col min="7446" max="7446" width="4.42578125" style="93" customWidth="1"/>
    <col min="7447" max="7447" width="5.140625" style="93" customWidth="1"/>
    <col min="7448" max="7448" width="4.42578125" style="93" customWidth="1"/>
    <col min="7449" max="7671" width="9.140625" style="93"/>
    <col min="7672" max="7676" width="9.140625" style="93" customWidth="1"/>
    <col min="7677" max="7677" width="5.85546875" style="93" customWidth="1"/>
    <col min="7678" max="7678" width="9.28515625" style="93" customWidth="1"/>
    <col min="7679" max="7679" width="7.28515625" style="93" customWidth="1"/>
    <col min="7680" max="7680" width="8.42578125" style="93" customWidth="1"/>
    <col min="7681" max="7681" width="6" style="93" customWidth="1"/>
    <col min="7682" max="7682" width="4.42578125" style="93" customWidth="1"/>
    <col min="7683" max="7683" width="6.28515625" style="93" customWidth="1"/>
    <col min="7684" max="7684" width="4.42578125" style="93" customWidth="1"/>
    <col min="7685" max="7685" width="7" style="93" customWidth="1"/>
    <col min="7686" max="7686" width="4.42578125" style="93" customWidth="1"/>
    <col min="7687" max="7687" width="6.42578125" style="93" customWidth="1"/>
    <col min="7688" max="7688" width="4.42578125" style="93" customWidth="1"/>
    <col min="7689" max="7689" width="5.42578125" style="93" customWidth="1"/>
    <col min="7690" max="7690" width="4.42578125" style="93" customWidth="1"/>
    <col min="7691" max="7691" width="5.28515625" style="93" customWidth="1"/>
    <col min="7692" max="7692" width="4.42578125" style="93" customWidth="1"/>
    <col min="7693" max="7693" width="5.5703125" style="93" customWidth="1"/>
    <col min="7694" max="7694" width="4.42578125" style="93" customWidth="1"/>
    <col min="7695" max="7695" width="4.85546875" style="93" customWidth="1"/>
    <col min="7696" max="7696" width="4.42578125" style="93" customWidth="1"/>
    <col min="7697" max="7697" width="5.85546875" style="93" customWidth="1"/>
    <col min="7698" max="7698" width="4.42578125" style="93" customWidth="1"/>
    <col min="7699" max="7699" width="5.42578125" style="93" customWidth="1"/>
    <col min="7700" max="7700" width="4.42578125" style="93" customWidth="1"/>
    <col min="7701" max="7701" width="5.5703125" style="93" customWidth="1"/>
    <col min="7702" max="7702" width="4.42578125" style="93" customWidth="1"/>
    <col min="7703" max="7703" width="5.140625" style="93" customWidth="1"/>
    <col min="7704" max="7704" width="4.42578125" style="93" customWidth="1"/>
    <col min="7705" max="7927" width="9.140625" style="93"/>
    <col min="7928" max="7932" width="9.140625" style="93" customWidth="1"/>
    <col min="7933" max="7933" width="5.85546875" style="93" customWidth="1"/>
    <col min="7934" max="7934" width="9.28515625" style="93" customWidth="1"/>
    <col min="7935" max="7935" width="7.28515625" style="93" customWidth="1"/>
    <col min="7936" max="7936" width="8.42578125" style="93" customWidth="1"/>
    <col min="7937" max="7937" width="6" style="93" customWidth="1"/>
    <col min="7938" max="7938" width="4.42578125" style="93" customWidth="1"/>
    <col min="7939" max="7939" width="6.28515625" style="93" customWidth="1"/>
    <col min="7940" max="7940" width="4.42578125" style="93" customWidth="1"/>
    <col min="7941" max="7941" width="7" style="93" customWidth="1"/>
    <col min="7942" max="7942" width="4.42578125" style="93" customWidth="1"/>
    <col min="7943" max="7943" width="6.42578125" style="93" customWidth="1"/>
    <col min="7944" max="7944" width="4.42578125" style="93" customWidth="1"/>
    <col min="7945" max="7945" width="5.42578125" style="93" customWidth="1"/>
    <col min="7946" max="7946" width="4.42578125" style="93" customWidth="1"/>
    <col min="7947" max="7947" width="5.28515625" style="93" customWidth="1"/>
    <col min="7948" max="7948" width="4.42578125" style="93" customWidth="1"/>
    <col min="7949" max="7949" width="5.5703125" style="93" customWidth="1"/>
    <col min="7950" max="7950" width="4.42578125" style="93" customWidth="1"/>
    <col min="7951" max="7951" width="4.85546875" style="93" customWidth="1"/>
    <col min="7952" max="7952" width="4.42578125" style="93" customWidth="1"/>
    <col min="7953" max="7953" width="5.85546875" style="93" customWidth="1"/>
    <col min="7954" max="7954" width="4.42578125" style="93" customWidth="1"/>
    <col min="7955" max="7955" width="5.42578125" style="93" customWidth="1"/>
    <col min="7956" max="7956" width="4.42578125" style="93" customWidth="1"/>
    <col min="7957" max="7957" width="5.5703125" style="93" customWidth="1"/>
    <col min="7958" max="7958" width="4.42578125" style="93" customWidth="1"/>
    <col min="7959" max="7959" width="5.140625" style="93" customWidth="1"/>
    <col min="7960" max="7960" width="4.42578125" style="93" customWidth="1"/>
    <col min="7961" max="8183" width="9.140625" style="93"/>
    <col min="8184" max="8188" width="9.140625" style="93" customWidth="1"/>
    <col min="8189" max="8189" width="5.85546875" style="93" customWidth="1"/>
    <col min="8190" max="8190" width="9.28515625" style="93" customWidth="1"/>
    <col min="8191" max="8191" width="7.28515625" style="93" customWidth="1"/>
    <col min="8192" max="8192" width="8.42578125" style="93" customWidth="1"/>
    <col min="8193" max="8193" width="6" style="93" customWidth="1"/>
    <col min="8194" max="8194" width="4.42578125" style="93" customWidth="1"/>
    <col min="8195" max="8195" width="6.28515625" style="93" customWidth="1"/>
    <col min="8196" max="8196" width="4.42578125" style="93" customWidth="1"/>
    <col min="8197" max="8197" width="7" style="93" customWidth="1"/>
    <col min="8198" max="8198" width="4.42578125" style="93" customWidth="1"/>
    <col min="8199" max="8199" width="6.42578125" style="93" customWidth="1"/>
    <col min="8200" max="8200" width="4.42578125" style="93" customWidth="1"/>
    <col min="8201" max="8201" width="5.42578125" style="93" customWidth="1"/>
    <col min="8202" max="8202" width="4.42578125" style="93" customWidth="1"/>
    <col min="8203" max="8203" width="5.28515625" style="93" customWidth="1"/>
    <col min="8204" max="8204" width="4.42578125" style="93" customWidth="1"/>
    <col min="8205" max="8205" width="5.5703125" style="93" customWidth="1"/>
    <col min="8206" max="8206" width="4.42578125" style="93" customWidth="1"/>
    <col min="8207" max="8207" width="4.85546875" style="93" customWidth="1"/>
    <col min="8208" max="8208" width="4.42578125" style="93" customWidth="1"/>
    <col min="8209" max="8209" width="5.85546875" style="93" customWidth="1"/>
    <col min="8210" max="8210" width="4.42578125" style="93" customWidth="1"/>
    <col min="8211" max="8211" width="5.42578125" style="93" customWidth="1"/>
    <col min="8212" max="8212" width="4.42578125" style="93" customWidth="1"/>
    <col min="8213" max="8213" width="5.5703125" style="93" customWidth="1"/>
    <col min="8214" max="8214" width="4.42578125" style="93" customWidth="1"/>
    <col min="8215" max="8215" width="5.140625" style="93" customWidth="1"/>
    <col min="8216" max="8216" width="4.42578125" style="93" customWidth="1"/>
    <col min="8217" max="8439" width="9.140625" style="93"/>
    <col min="8440" max="8444" width="9.140625" style="93" customWidth="1"/>
    <col min="8445" max="8445" width="5.85546875" style="93" customWidth="1"/>
    <col min="8446" max="8446" width="9.28515625" style="93" customWidth="1"/>
    <col min="8447" max="8447" width="7.28515625" style="93" customWidth="1"/>
    <col min="8448" max="8448" width="8.42578125" style="93" customWidth="1"/>
    <col min="8449" max="8449" width="6" style="93" customWidth="1"/>
    <col min="8450" max="8450" width="4.42578125" style="93" customWidth="1"/>
    <col min="8451" max="8451" width="6.28515625" style="93" customWidth="1"/>
    <col min="8452" max="8452" width="4.42578125" style="93" customWidth="1"/>
    <col min="8453" max="8453" width="7" style="93" customWidth="1"/>
    <col min="8454" max="8454" width="4.42578125" style="93" customWidth="1"/>
    <col min="8455" max="8455" width="6.42578125" style="93" customWidth="1"/>
    <col min="8456" max="8456" width="4.42578125" style="93" customWidth="1"/>
    <col min="8457" max="8457" width="5.42578125" style="93" customWidth="1"/>
    <col min="8458" max="8458" width="4.42578125" style="93" customWidth="1"/>
    <col min="8459" max="8459" width="5.28515625" style="93" customWidth="1"/>
    <col min="8460" max="8460" width="4.42578125" style="93" customWidth="1"/>
    <col min="8461" max="8461" width="5.5703125" style="93" customWidth="1"/>
    <col min="8462" max="8462" width="4.42578125" style="93" customWidth="1"/>
    <col min="8463" max="8463" width="4.85546875" style="93" customWidth="1"/>
    <col min="8464" max="8464" width="4.42578125" style="93" customWidth="1"/>
    <col min="8465" max="8465" width="5.85546875" style="93" customWidth="1"/>
    <col min="8466" max="8466" width="4.42578125" style="93" customWidth="1"/>
    <col min="8467" max="8467" width="5.42578125" style="93" customWidth="1"/>
    <col min="8468" max="8468" width="4.42578125" style="93" customWidth="1"/>
    <col min="8469" max="8469" width="5.5703125" style="93" customWidth="1"/>
    <col min="8470" max="8470" width="4.42578125" style="93" customWidth="1"/>
    <col min="8471" max="8471" width="5.140625" style="93" customWidth="1"/>
    <col min="8472" max="8472" width="4.42578125" style="93" customWidth="1"/>
    <col min="8473" max="8695" width="9.140625" style="93"/>
    <col min="8696" max="8700" width="9.140625" style="93" customWidth="1"/>
    <col min="8701" max="8701" width="5.85546875" style="93" customWidth="1"/>
    <col min="8702" max="8702" width="9.28515625" style="93" customWidth="1"/>
    <col min="8703" max="8703" width="7.28515625" style="93" customWidth="1"/>
    <col min="8704" max="8704" width="8.42578125" style="93" customWidth="1"/>
    <col min="8705" max="8705" width="6" style="93" customWidth="1"/>
    <col min="8706" max="8706" width="4.42578125" style="93" customWidth="1"/>
    <col min="8707" max="8707" width="6.28515625" style="93" customWidth="1"/>
    <col min="8708" max="8708" width="4.42578125" style="93" customWidth="1"/>
    <col min="8709" max="8709" width="7" style="93" customWidth="1"/>
    <col min="8710" max="8710" width="4.42578125" style="93" customWidth="1"/>
    <col min="8711" max="8711" width="6.42578125" style="93" customWidth="1"/>
    <col min="8712" max="8712" width="4.42578125" style="93" customWidth="1"/>
    <col min="8713" max="8713" width="5.42578125" style="93" customWidth="1"/>
    <col min="8714" max="8714" width="4.42578125" style="93" customWidth="1"/>
    <col min="8715" max="8715" width="5.28515625" style="93" customWidth="1"/>
    <col min="8716" max="8716" width="4.42578125" style="93" customWidth="1"/>
    <col min="8717" max="8717" width="5.5703125" style="93" customWidth="1"/>
    <col min="8718" max="8718" width="4.42578125" style="93" customWidth="1"/>
    <col min="8719" max="8719" width="4.85546875" style="93" customWidth="1"/>
    <col min="8720" max="8720" width="4.42578125" style="93" customWidth="1"/>
    <col min="8721" max="8721" width="5.85546875" style="93" customWidth="1"/>
    <col min="8722" max="8722" width="4.42578125" style="93" customWidth="1"/>
    <col min="8723" max="8723" width="5.42578125" style="93" customWidth="1"/>
    <col min="8724" max="8724" width="4.42578125" style="93" customWidth="1"/>
    <col min="8725" max="8725" width="5.5703125" style="93" customWidth="1"/>
    <col min="8726" max="8726" width="4.42578125" style="93" customWidth="1"/>
    <col min="8727" max="8727" width="5.140625" style="93" customWidth="1"/>
    <col min="8728" max="8728" width="4.42578125" style="93" customWidth="1"/>
    <col min="8729" max="8951" width="9.140625" style="93"/>
    <col min="8952" max="8956" width="9.140625" style="93" customWidth="1"/>
    <col min="8957" max="8957" width="5.85546875" style="93" customWidth="1"/>
    <col min="8958" max="8958" width="9.28515625" style="93" customWidth="1"/>
    <col min="8959" max="8959" width="7.28515625" style="93" customWidth="1"/>
    <col min="8960" max="8960" width="8.42578125" style="93" customWidth="1"/>
    <col min="8961" max="8961" width="6" style="93" customWidth="1"/>
    <col min="8962" max="8962" width="4.42578125" style="93" customWidth="1"/>
    <col min="8963" max="8963" width="6.28515625" style="93" customWidth="1"/>
    <col min="8964" max="8964" width="4.42578125" style="93" customWidth="1"/>
    <col min="8965" max="8965" width="7" style="93" customWidth="1"/>
    <col min="8966" max="8966" width="4.42578125" style="93" customWidth="1"/>
    <col min="8967" max="8967" width="6.42578125" style="93" customWidth="1"/>
    <col min="8968" max="8968" width="4.42578125" style="93" customWidth="1"/>
    <col min="8969" max="8969" width="5.42578125" style="93" customWidth="1"/>
    <col min="8970" max="8970" width="4.42578125" style="93" customWidth="1"/>
    <col min="8971" max="8971" width="5.28515625" style="93" customWidth="1"/>
    <col min="8972" max="8972" width="4.42578125" style="93" customWidth="1"/>
    <col min="8973" max="8973" width="5.5703125" style="93" customWidth="1"/>
    <col min="8974" max="8974" width="4.42578125" style="93" customWidth="1"/>
    <col min="8975" max="8975" width="4.85546875" style="93" customWidth="1"/>
    <col min="8976" max="8976" width="4.42578125" style="93" customWidth="1"/>
    <col min="8977" max="8977" width="5.85546875" style="93" customWidth="1"/>
    <col min="8978" max="8978" width="4.42578125" style="93" customWidth="1"/>
    <col min="8979" max="8979" width="5.42578125" style="93" customWidth="1"/>
    <col min="8980" max="8980" width="4.42578125" style="93" customWidth="1"/>
    <col min="8981" max="8981" width="5.5703125" style="93" customWidth="1"/>
    <col min="8982" max="8982" width="4.42578125" style="93" customWidth="1"/>
    <col min="8983" max="8983" width="5.140625" style="93" customWidth="1"/>
    <col min="8984" max="8984" width="4.42578125" style="93" customWidth="1"/>
    <col min="8985" max="9207" width="9.140625" style="93"/>
    <col min="9208" max="9212" width="9.140625" style="93" customWidth="1"/>
    <col min="9213" max="9213" width="5.85546875" style="93" customWidth="1"/>
    <col min="9214" max="9214" width="9.28515625" style="93" customWidth="1"/>
    <col min="9215" max="9215" width="7.28515625" style="93" customWidth="1"/>
    <col min="9216" max="9216" width="8.42578125" style="93" customWidth="1"/>
    <col min="9217" max="9217" width="6" style="93" customWidth="1"/>
    <col min="9218" max="9218" width="4.42578125" style="93" customWidth="1"/>
    <col min="9219" max="9219" width="6.28515625" style="93" customWidth="1"/>
    <col min="9220" max="9220" width="4.42578125" style="93" customWidth="1"/>
    <col min="9221" max="9221" width="7" style="93" customWidth="1"/>
    <col min="9222" max="9222" width="4.42578125" style="93" customWidth="1"/>
    <col min="9223" max="9223" width="6.42578125" style="93" customWidth="1"/>
    <col min="9224" max="9224" width="4.42578125" style="93" customWidth="1"/>
    <col min="9225" max="9225" width="5.42578125" style="93" customWidth="1"/>
    <col min="9226" max="9226" width="4.42578125" style="93" customWidth="1"/>
    <col min="9227" max="9227" width="5.28515625" style="93" customWidth="1"/>
    <col min="9228" max="9228" width="4.42578125" style="93" customWidth="1"/>
    <col min="9229" max="9229" width="5.5703125" style="93" customWidth="1"/>
    <col min="9230" max="9230" width="4.42578125" style="93" customWidth="1"/>
    <col min="9231" max="9231" width="4.85546875" style="93" customWidth="1"/>
    <col min="9232" max="9232" width="4.42578125" style="93" customWidth="1"/>
    <col min="9233" max="9233" width="5.85546875" style="93" customWidth="1"/>
    <col min="9234" max="9234" width="4.42578125" style="93" customWidth="1"/>
    <col min="9235" max="9235" width="5.42578125" style="93" customWidth="1"/>
    <col min="9236" max="9236" width="4.42578125" style="93" customWidth="1"/>
    <col min="9237" max="9237" width="5.5703125" style="93" customWidth="1"/>
    <col min="9238" max="9238" width="4.42578125" style="93" customWidth="1"/>
    <col min="9239" max="9239" width="5.140625" style="93" customWidth="1"/>
    <col min="9240" max="9240" width="4.42578125" style="93" customWidth="1"/>
    <col min="9241" max="9463" width="9.140625" style="93"/>
    <col min="9464" max="9468" width="9.140625" style="93" customWidth="1"/>
    <col min="9469" max="9469" width="5.85546875" style="93" customWidth="1"/>
    <col min="9470" max="9470" width="9.28515625" style="93" customWidth="1"/>
    <col min="9471" max="9471" width="7.28515625" style="93" customWidth="1"/>
    <col min="9472" max="9472" width="8.42578125" style="93" customWidth="1"/>
    <col min="9473" max="9473" width="6" style="93" customWidth="1"/>
    <col min="9474" max="9474" width="4.42578125" style="93" customWidth="1"/>
    <col min="9475" max="9475" width="6.28515625" style="93" customWidth="1"/>
    <col min="9476" max="9476" width="4.42578125" style="93" customWidth="1"/>
    <col min="9477" max="9477" width="7" style="93" customWidth="1"/>
    <col min="9478" max="9478" width="4.42578125" style="93" customWidth="1"/>
    <col min="9479" max="9479" width="6.42578125" style="93" customWidth="1"/>
    <col min="9480" max="9480" width="4.42578125" style="93" customWidth="1"/>
    <col min="9481" max="9481" width="5.42578125" style="93" customWidth="1"/>
    <col min="9482" max="9482" width="4.42578125" style="93" customWidth="1"/>
    <col min="9483" max="9483" width="5.28515625" style="93" customWidth="1"/>
    <col min="9484" max="9484" width="4.42578125" style="93" customWidth="1"/>
    <col min="9485" max="9485" width="5.5703125" style="93" customWidth="1"/>
    <col min="9486" max="9486" width="4.42578125" style="93" customWidth="1"/>
    <col min="9487" max="9487" width="4.85546875" style="93" customWidth="1"/>
    <col min="9488" max="9488" width="4.42578125" style="93" customWidth="1"/>
    <col min="9489" max="9489" width="5.85546875" style="93" customWidth="1"/>
    <col min="9490" max="9490" width="4.42578125" style="93" customWidth="1"/>
    <col min="9491" max="9491" width="5.42578125" style="93" customWidth="1"/>
    <col min="9492" max="9492" width="4.42578125" style="93" customWidth="1"/>
    <col min="9493" max="9493" width="5.5703125" style="93" customWidth="1"/>
    <col min="9494" max="9494" width="4.42578125" style="93" customWidth="1"/>
    <col min="9495" max="9495" width="5.140625" style="93" customWidth="1"/>
    <col min="9496" max="9496" width="4.42578125" style="93" customWidth="1"/>
    <col min="9497" max="9719" width="9.140625" style="93"/>
    <col min="9720" max="9724" width="9.140625" style="93" customWidth="1"/>
    <col min="9725" max="9725" width="5.85546875" style="93" customWidth="1"/>
    <col min="9726" max="9726" width="9.28515625" style="93" customWidth="1"/>
    <col min="9727" max="9727" width="7.28515625" style="93" customWidth="1"/>
    <col min="9728" max="9728" width="8.42578125" style="93" customWidth="1"/>
    <col min="9729" max="9729" width="6" style="93" customWidth="1"/>
    <col min="9730" max="9730" width="4.42578125" style="93" customWidth="1"/>
    <col min="9731" max="9731" width="6.28515625" style="93" customWidth="1"/>
    <col min="9732" max="9732" width="4.42578125" style="93" customWidth="1"/>
    <col min="9733" max="9733" width="7" style="93" customWidth="1"/>
    <col min="9734" max="9734" width="4.42578125" style="93" customWidth="1"/>
    <col min="9735" max="9735" width="6.42578125" style="93" customWidth="1"/>
    <col min="9736" max="9736" width="4.42578125" style="93" customWidth="1"/>
    <col min="9737" max="9737" width="5.42578125" style="93" customWidth="1"/>
    <col min="9738" max="9738" width="4.42578125" style="93" customWidth="1"/>
    <col min="9739" max="9739" width="5.28515625" style="93" customWidth="1"/>
    <col min="9740" max="9740" width="4.42578125" style="93" customWidth="1"/>
    <col min="9741" max="9741" width="5.5703125" style="93" customWidth="1"/>
    <col min="9742" max="9742" width="4.42578125" style="93" customWidth="1"/>
    <col min="9743" max="9743" width="4.85546875" style="93" customWidth="1"/>
    <col min="9744" max="9744" width="4.42578125" style="93" customWidth="1"/>
    <col min="9745" max="9745" width="5.85546875" style="93" customWidth="1"/>
    <col min="9746" max="9746" width="4.42578125" style="93" customWidth="1"/>
    <col min="9747" max="9747" width="5.42578125" style="93" customWidth="1"/>
    <col min="9748" max="9748" width="4.42578125" style="93" customWidth="1"/>
    <col min="9749" max="9749" width="5.5703125" style="93" customWidth="1"/>
    <col min="9750" max="9750" width="4.42578125" style="93" customWidth="1"/>
    <col min="9751" max="9751" width="5.140625" style="93" customWidth="1"/>
    <col min="9752" max="9752" width="4.42578125" style="93" customWidth="1"/>
    <col min="9753" max="9975" width="9.140625" style="93"/>
    <col min="9976" max="9980" width="9.140625" style="93" customWidth="1"/>
    <col min="9981" max="9981" width="5.85546875" style="93" customWidth="1"/>
    <col min="9982" max="9982" width="9.28515625" style="93" customWidth="1"/>
    <col min="9983" max="9983" width="7.28515625" style="93" customWidth="1"/>
    <col min="9984" max="9984" width="8.42578125" style="93" customWidth="1"/>
    <col min="9985" max="9985" width="6" style="93" customWidth="1"/>
    <col min="9986" max="9986" width="4.42578125" style="93" customWidth="1"/>
    <col min="9987" max="9987" width="6.28515625" style="93" customWidth="1"/>
    <col min="9988" max="9988" width="4.42578125" style="93" customWidth="1"/>
    <col min="9989" max="9989" width="7" style="93" customWidth="1"/>
    <col min="9990" max="9990" width="4.42578125" style="93" customWidth="1"/>
    <col min="9991" max="9991" width="6.42578125" style="93" customWidth="1"/>
    <col min="9992" max="9992" width="4.42578125" style="93" customWidth="1"/>
    <col min="9993" max="9993" width="5.42578125" style="93" customWidth="1"/>
    <col min="9994" max="9994" width="4.42578125" style="93" customWidth="1"/>
    <col min="9995" max="9995" width="5.28515625" style="93" customWidth="1"/>
    <col min="9996" max="9996" width="4.42578125" style="93" customWidth="1"/>
    <col min="9997" max="9997" width="5.5703125" style="93" customWidth="1"/>
    <col min="9998" max="9998" width="4.42578125" style="93" customWidth="1"/>
    <col min="9999" max="9999" width="4.85546875" style="93" customWidth="1"/>
    <col min="10000" max="10000" width="4.42578125" style="93" customWidth="1"/>
    <col min="10001" max="10001" width="5.85546875" style="93" customWidth="1"/>
    <col min="10002" max="10002" width="4.42578125" style="93" customWidth="1"/>
    <col min="10003" max="10003" width="5.42578125" style="93" customWidth="1"/>
    <col min="10004" max="10004" width="4.42578125" style="93" customWidth="1"/>
    <col min="10005" max="10005" width="5.5703125" style="93" customWidth="1"/>
    <col min="10006" max="10006" width="4.42578125" style="93" customWidth="1"/>
    <col min="10007" max="10007" width="5.140625" style="93" customWidth="1"/>
    <col min="10008" max="10008" width="4.42578125" style="93" customWidth="1"/>
    <col min="10009" max="10231" width="9.140625" style="93"/>
    <col min="10232" max="10236" width="9.140625" style="93" customWidth="1"/>
    <col min="10237" max="10237" width="5.85546875" style="93" customWidth="1"/>
    <col min="10238" max="10238" width="9.28515625" style="93" customWidth="1"/>
    <col min="10239" max="10239" width="7.28515625" style="93" customWidth="1"/>
    <col min="10240" max="10240" width="8.42578125" style="93" customWidth="1"/>
    <col min="10241" max="10241" width="6" style="93" customWidth="1"/>
    <col min="10242" max="10242" width="4.42578125" style="93" customWidth="1"/>
    <col min="10243" max="10243" width="6.28515625" style="93" customWidth="1"/>
    <col min="10244" max="10244" width="4.42578125" style="93" customWidth="1"/>
    <col min="10245" max="10245" width="7" style="93" customWidth="1"/>
    <col min="10246" max="10246" width="4.42578125" style="93" customWidth="1"/>
    <col min="10247" max="10247" width="6.42578125" style="93" customWidth="1"/>
    <col min="10248" max="10248" width="4.42578125" style="93" customWidth="1"/>
    <col min="10249" max="10249" width="5.42578125" style="93" customWidth="1"/>
    <col min="10250" max="10250" width="4.42578125" style="93" customWidth="1"/>
    <col min="10251" max="10251" width="5.28515625" style="93" customWidth="1"/>
    <col min="10252" max="10252" width="4.42578125" style="93" customWidth="1"/>
    <col min="10253" max="10253" width="5.5703125" style="93" customWidth="1"/>
    <col min="10254" max="10254" width="4.42578125" style="93" customWidth="1"/>
    <col min="10255" max="10255" width="4.85546875" style="93" customWidth="1"/>
    <col min="10256" max="10256" width="4.42578125" style="93" customWidth="1"/>
    <col min="10257" max="10257" width="5.85546875" style="93" customWidth="1"/>
    <col min="10258" max="10258" width="4.42578125" style="93" customWidth="1"/>
    <col min="10259" max="10259" width="5.42578125" style="93" customWidth="1"/>
    <col min="10260" max="10260" width="4.42578125" style="93" customWidth="1"/>
    <col min="10261" max="10261" width="5.5703125" style="93" customWidth="1"/>
    <col min="10262" max="10262" width="4.42578125" style="93" customWidth="1"/>
    <col min="10263" max="10263" width="5.140625" style="93" customWidth="1"/>
    <col min="10264" max="10264" width="4.42578125" style="93" customWidth="1"/>
    <col min="10265" max="10487" width="9.140625" style="93"/>
    <col min="10488" max="10492" width="9.140625" style="93" customWidth="1"/>
    <col min="10493" max="10493" width="5.85546875" style="93" customWidth="1"/>
    <col min="10494" max="10494" width="9.28515625" style="93" customWidth="1"/>
    <col min="10495" max="10495" width="7.28515625" style="93" customWidth="1"/>
    <col min="10496" max="10496" width="8.42578125" style="93" customWidth="1"/>
    <col min="10497" max="10497" width="6" style="93" customWidth="1"/>
    <col min="10498" max="10498" width="4.42578125" style="93" customWidth="1"/>
    <col min="10499" max="10499" width="6.28515625" style="93" customWidth="1"/>
    <col min="10500" max="10500" width="4.42578125" style="93" customWidth="1"/>
    <col min="10501" max="10501" width="7" style="93" customWidth="1"/>
    <col min="10502" max="10502" width="4.42578125" style="93" customWidth="1"/>
    <col min="10503" max="10503" width="6.42578125" style="93" customWidth="1"/>
    <col min="10504" max="10504" width="4.42578125" style="93" customWidth="1"/>
    <col min="10505" max="10505" width="5.42578125" style="93" customWidth="1"/>
    <col min="10506" max="10506" width="4.42578125" style="93" customWidth="1"/>
    <col min="10507" max="10507" width="5.28515625" style="93" customWidth="1"/>
    <col min="10508" max="10508" width="4.42578125" style="93" customWidth="1"/>
    <col min="10509" max="10509" width="5.5703125" style="93" customWidth="1"/>
    <col min="10510" max="10510" width="4.42578125" style="93" customWidth="1"/>
    <col min="10511" max="10511" width="4.85546875" style="93" customWidth="1"/>
    <col min="10512" max="10512" width="4.42578125" style="93" customWidth="1"/>
    <col min="10513" max="10513" width="5.85546875" style="93" customWidth="1"/>
    <col min="10514" max="10514" width="4.42578125" style="93" customWidth="1"/>
    <col min="10515" max="10515" width="5.42578125" style="93" customWidth="1"/>
    <col min="10516" max="10516" width="4.42578125" style="93" customWidth="1"/>
    <col min="10517" max="10517" width="5.5703125" style="93" customWidth="1"/>
    <col min="10518" max="10518" width="4.42578125" style="93" customWidth="1"/>
    <col min="10519" max="10519" width="5.140625" style="93" customWidth="1"/>
    <col min="10520" max="10520" width="4.42578125" style="93" customWidth="1"/>
    <col min="10521" max="10743" width="9.140625" style="93"/>
    <col min="10744" max="10748" width="9.140625" style="93" customWidth="1"/>
    <col min="10749" max="10749" width="5.85546875" style="93" customWidth="1"/>
    <col min="10750" max="10750" width="9.28515625" style="93" customWidth="1"/>
    <col min="10751" max="10751" width="7.28515625" style="93" customWidth="1"/>
    <col min="10752" max="10752" width="8.42578125" style="93" customWidth="1"/>
    <col min="10753" max="10753" width="6" style="93" customWidth="1"/>
    <col min="10754" max="10754" width="4.42578125" style="93" customWidth="1"/>
    <col min="10755" max="10755" width="6.28515625" style="93" customWidth="1"/>
    <col min="10756" max="10756" width="4.42578125" style="93" customWidth="1"/>
    <col min="10757" max="10757" width="7" style="93" customWidth="1"/>
    <col min="10758" max="10758" width="4.42578125" style="93" customWidth="1"/>
    <col min="10759" max="10759" width="6.42578125" style="93" customWidth="1"/>
    <col min="10760" max="10760" width="4.42578125" style="93" customWidth="1"/>
    <col min="10761" max="10761" width="5.42578125" style="93" customWidth="1"/>
    <col min="10762" max="10762" width="4.42578125" style="93" customWidth="1"/>
    <col min="10763" max="10763" width="5.28515625" style="93" customWidth="1"/>
    <col min="10764" max="10764" width="4.42578125" style="93" customWidth="1"/>
    <col min="10765" max="10765" width="5.5703125" style="93" customWidth="1"/>
    <col min="10766" max="10766" width="4.42578125" style="93" customWidth="1"/>
    <col min="10767" max="10767" width="4.85546875" style="93" customWidth="1"/>
    <col min="10768" max="10768" width="4.42578125" style="93" customWidth="1"/>
    <col min="10769" max="10769" width="5.85546875" style="93" customWidth="1"/>
    <col min="10770" max="10770" width="4.42578125" style="93" customWidth="1"/>
    <col min="10771" max="10771" width="5.42578125" style="93" customWidth="1"/>
    <col min="10772" max="10772" width="4.42578125" style="93" customWidth="1"/>
    <col min="10773" max="10773" width="5.5703125" style="93" customWidth="1"/>
    <col min="10774" max="10774" width="4.42578125" style="93" customWidth="1"/>
    <col min="10775" max="10775" width="5.140625" style="93" customWidth="1"/>
    <col min="10776" max="10776" width="4.42578125" style="93" customWidth="1"/>
    <col min="10777" max="10999" width="9.140625" style="93"/>
    <col min="11000" max="11004" width="9.140625" style="93" customWidth="1"/>
    <col min="11005" max="11005" width="5.85546875" style="93" customWidth="1"/>
    <col min="11006" max="11006" width="9.28515625" style="93" customWidth="1"/>
    <col min="11007" max="11007" width="7.28515625" style="93" customWidth="1"/>
    <col min="11008" max="11008" width="8.42578125" style="93" customWidth="1"/>
    <col min="11009" max="11009" width="6" style="93" customWidth="1"/>
    <col min="11010" max="11010" width="4.42578125" style="93" customWidth="1"/>
    <col min="11011" max="11011" width="6.28515625" style="93" customWidth="1"/>
    <col min="11012" max="11012" width="4.42578125" style="93" customWidth="1"/>
    <col min="11013" max="11013" width="7" style="93" customWidth="1"/>
    <col min="11014" max="11014" width="4.42578125" style="93" customWidth="1"/>
    <col min="11015" max="11015" width="6.42578125" style="93" customWidth="1"/>
    <col min="11016" max="11016" width="4.42578125" style="93" customWidth="1"/>
    <col min="11017" max="11017" width="5.42578125" style="93" customWidth="1"/>
    <col min="11018" max="11018" width="4.42578125" style="93" customWidth="1"/>
    <col min="11019" max="11019" width="5.28515625" style="93" customWidth="1"/>
    <col min="11020" max="11020" width="4.42578125" style="93" customWidth="1"/>
    <col min="11021" max="11021" width="5.5703125" style="93" customWidth="1"/>
    <col min="11022" max="11022" width="4.42578125" style="93" customWidth="1"/>
    <col min="11023" max="11023" width="4.85546875" style="93" customWidth="1"/>
    <col min="11024" max="11024" width="4.42578125" style="93" customWidth="1"/>
    <col min="11025" max="11025" width="5.85546875" style="93" customWidth="1"/>
    <col min="11026" max="11026" width="4.42578125" style="93" customWidth="1"/>
    <col min="11027" max="11027" width="5.42578125" style="93" customWidth="1"/>
    <col min="11028" max="11028" width="4.42578125" style="93" customWidth="1"/>
    <col min="11029" max="11029" width="5.5703125" style="93" customWidth="1"/>
    <col min="11030" max="11030" width="4.42578125" style="93" customWidth="1"/>
    <col min="11031" max="11031" width="5.140625" style="93" customWidth="1"/>
    <col min="11032" max="11032" width="4.42578125" style="93" customWidth="1"/>
    <col min="11033" max="11255" width="9.140625" style="93"/>
    <col min="11256" max="11260" width="9.140625" style="93" customWidth="1"/>
    <col min="11261" max="11261" width="5.85546875" style="93" customWidth="1"/>
    <col min="11262" max="11262" width="9.28515625" style="93" customWidth="1"/>
    <col min="11263" max="11263" width="7.28515625" style="93" customWidth="1"/>
    <col min="11264" max="11264" width="8.42578125" style="93" customWidth="1"/>
    <col min="11265" max="11265" width="6" style="93" customWidth="1"/>
    <col min="11266" max="11266" width="4.42578125" style="93" customWidth="1"/>
    <col min="11267" max="11267" width="6.28515625" style="93" customWidth="1"/>
    <col min="11268" max="11268" width="4.42578125" style="93" customWidth="1"/>
    <col min="11269" max="11269" width="7" style="93" customWidth="1"/>
    <col min="11270" max="11270" width="4.42578125" style="93" customWidth="1"/>
    <col min="11271" max="11271" width="6.42578125" style="93" customWidth="1"/>
    <col min="11272" max="11272" width="4.42578125" style="93" customWidth="1"/>
    <col min="11273" max="11273" width="5.42578125" style="93" customWidth="1"/>
    <col min="11274" max="11274" width="4.42578125" style="93" customWidth="1"/>
    <col min="11275" max="11275" width="5.28515625" style="93" customWidth="1"/>
    <col min="11276" max="11276" width="4.42578125" style="93" customWidth="1"/>
    <col min="11277" max="11277" width="5.5703125" style="93" customWidth="1"/>
    <col min="11278" max="11278" width="4.42578125" style="93" customWidth="1"/>
    <col min="11279" max="11279" width="4.85546875" style="93" customWidth="1"/>
    <col min="11280" max="11280" width="4.42578125" style="93" customWidth="1"/>
    <col min="11281" max="11281" width="5.85546875" style="93" customWidth="1"/>
    <col min="11282" max="11282" width="4.42578125" style="93" customWidth="1"/>
    <col min="11283" max="11283" width="5.42578125" style="93" customWidth="1"/>
    <col min="11284" max="11284" width="4.42578125" style="93" customWidth="1"/>
    <col min="11285" max="11285" width="5.5703125" style="93" customWidth="1"/>
    <col min="11286" max="11286" width="4.42578125" style="93" customWidth="1"/>
    <col min="11287" max="11287" width="5.140625" style="93" customWidth="1"/>
    <col min="11288" max="11288" width="4.42578125" style="93" customWidth="1"/>
    <col min="11289" max="11511" width="9.140625" style="93"/>
    <col min="11512" max="11516" width="9.140625" style="93" customWidth="1"/>
    <col min="11517" max="11517" width="5.85546875" style="93" customWidth="1"/>
    <col min="11518" max="11518" width="9.28515625" style="93" customWidth="1"/>
    <col min="11519" max="11519" width="7.28515625" style="93" customWidth="1"/>
    <col min="11520" max="11520" width="8.42578125" style="93" customWidth="1"/>
    <col min="11521" max="11521" width="6" style="93" customWidth="1"/>
    <col min="11522" max="11522" width="4.42578125" style="93" customWidth="1"/>
    <col min="11523" max="11523" width="6.28515625" style="93" customWidth="1"/>
    <col min="11524" max="11524" width="4.42578125" style="93" customWidth="1"/>
    <col min="11525" max="11525" width="7" style="93" customWidth="1"/>
    <col min="11526" max="11526" width="4.42578125" style="93" customWidth="1"/>
    <col min="11527" max="11527" width="6.42578125" style="93" customWidth="1"/>
    <col min="11528" max="11528" width="4.42578125" style="93" customWidth="1"/>
    <col min="11529" max="11529" width="5.42578125" style="93" customWidth="1"/>
    <col min="11530" max="11530" width="4.42578125" style="93" customWidth="1"/>
    <col min="11531" max="11531" width="5.28515625" style="93" customWidth="1"/>
    <col min="11532" max="11532" width="4.42578125" style="93" customWidth="1"/>
    <col min="11533" max="11533" width="5.5703125" style="93" customWidth="1"/>
    <col min="11534" max="11534" width="4.42578125" style="93" customWidth="1"/>
    <col min="11535" max="11535" width="4.85546875" style="93" customWidth="1"/>
    <col min="11536" max="11536" width="4.42578125" style="93" customWidth="1"/>
    <col min="11537" max="11537" width="5.85546875" style="93" customWidth="1"/>
    <col min="11538" max="11538" width="4.42578125" style="93" customWidth="1"/>
    <col min="11539" max="11539" width="5.42578125" style="93" customWidth="1"/>
    <col min="11540" max="11540" width="4.42578125" style="93" customWidth="1"/>
    <col min="11541" max="11541" width="5.5703125" style="93" customWidth="1"/>
    <col min="11542" max="11542" width="4.42578125" style="93" customWidth="1"/>
    <col min="11543" max="11543" width="5.140625" style="93" customWidth="1"/>
    <col min="11544" max="11544" width="4.42578125" style="93" customWidth="1"/>
    <col min="11545" max="11767" width="9.140625" style="93"/>
    <col min="11768" max="11772" width="9.140625" style="93" customWidth="1"/>
    <col min="11773" max="11773" width="5.85546875" style="93" customWidth="1"/>
    <col min="11774" max="11774" width="9.28515625" style="93" customWidth="1"/>
    <col min="11775" max="11775" width="7.28515625" style="93" customWidth="1"/>
    <col min="11776" max="11776" width="8.42578125" style="93" customWidth="1"/>
    <col min="11777" max="11777" width="6" style="93" customWidth="1"/>
    <col min="11778" max="11778" width="4.42578125" style="93" customWidth="1"/>
    <col min="11779" max="11779" width="6.28515625" style="93" customWidth="1"/>
    <col min="11780" max="11780" width="4.42578125" style="93" customWidth="1"/>
    <col min="11781" max="11781" width="7" style="93" customWidth="1"/>
    <col min="11782" max="11782" width="4.42578125" style="93" customWidth="1"/>
    <col min="11783" max="11783" width="6.42578125" style="93" customWidth="1"/>
    <col min="11784" max="11784" width="4.42578125" style="93" customWidth="1"/>
    <col min="11785" max="11785" width="5.42578125" style="93" customWidth="1"/>
    <col min="11786" max="11786" width="4.42578125" style="93" customWidth="1"/>
    <col min="11787" max="11787" width="5.28515625" style="93" customWidth="1"/>
    <col min="11788" max="11788" width="4.42578125" style="93" customWidth="1"/>
    <col min="11789" max="11789" width="5.5703125" style="93" customWidth="1"/>
    <col min="11790" max="11790" width="4.42578125" style="93" customWidth="1"/>
    <col min="11791" max="11791" width="4.85546875" style="93" customWidth="1"/>
    <col min="11792" max="11792" width="4.42578125" style="93" customWidth="1"/>
    <col min="11793" max="11793" width="5.85546875" style="93" customWidth="1"/>
    <col min="11794" max="11794" width="4.42578125" style="93" customWidth="1"/>
    <col min="11795" max="11795" width="5.42578125" style="93" customWidth="1"/>
    <col min="11796" max="11796" width="4.42578125" style="93" customWidth="1"/>
    <col min="11797" max="11797" width="5.5703125" style="93" customWidth="1"/>
    <col min="11798" max="11798" width="4.42578125" style="93" customWidth="1"/>
    <col min="11799" max="11799" width="5.140625" style="93" customWidth="1"/>
    <col min="11800" max="11800" width="4.42578125" style="93" customWidth="1"/>
    <col min="11801" max="12023" width="9.140625" style="93"/>
    <col min="12024" max="12028" width="9.140625" style="93" customWidth="1"/>
    <col min="12029" max="12029" width="5.85546875" style="93" customWidth="1"/>
    <col min="12030" max="12030" width="9.28515625" style="93" customWidth="1"/>
    <col min="12031" max="12031" width="7.28515625" style="93" customWidth="1"/>
    <col min="12032" max="12032" width="8.42578125" style="93" customWidth="1"/>
    <col min="12033" max="12033" width="6" style="93" customWidth="1"/>
    <col min="12034" max="12034" width="4.42578125" style="93" customWidth="1"/>
    <col min="12035" max="12035" width="6.28515625" style="93" customWidth="1"/>
    <col min="12036" max="12036" width="4.42578125" style="93" customWidth="1"/>
    <col min="12037" max="12037" width="7" style="93" customWidth="1"/>
    <col min="12038" max="12038" width="4.42578125" style="93" customWidth="1"/>
    <col min="12039" max="12039" width="6.42578125" style="93" customWidth="1"/>
    <col min="12040" max="12040" width="4.42578125" style="93" customWidth="1"/>
    <col min="12041" max="12041" width="5.42578125" style="93" customWidth="1"/>
    <col min="12042" max="12042" width="4.42578125" style="93" customWidth="1"/>
    <col min="12043" max="12043" width="5.28515625" style="93" customWidth="1"/>
    <col min="12044" max="12044" width="4.42578125" style="93" customWidth="1"/>
    <col min="12045" max="12045" width="5.5703125" style="93" customWidth="1"/>
    <col min="12046" max="12046" width="4.42578125" style="93" customWidth="1"/>
    <col min="12047" max="12047" width="4.85546875" style="93" customWidth="1"/>
    <col min="12048" max="12048" width="4.42578125" style="93" customWidth="1"/>
    <col min="12049" max="12049" width="5.85546875" style="93" customWidth="1"/>
    <col min="12050" max="12050" width="4.42578125" style="93" customWidth="1"/>
    <col min="12051" max="12051" width="5.42578125" style="93" customWidth="1"/>
    <col min="12052" max="12052" width="4.42578125" style="93" customWidth="1"/>
    <col min="12053" max="12053" width="5.5703125" style="93" customWidth="1"/>
    <col min="12054" max="12054" width="4.42578125" style="93" customWidth="1"/>
    <col min="12055" max="12055" width="5.140625" style="93" customWidth="1"/>
    <col min="12056" max="12056" width="4.42578125" style="93" customWidth="1"/>
    <col min="12057" max="12279" width="9.140625" style="93"/>
    <col min="12280" max="12284" width="9.140625" style="93" customWidth="1"/>
    <col min="12285" max="12285" width="5.85546875" style="93" customWidth="1"/>
    <col min="12286" max="12286" width="9.28515625" style="93" customWidth="1"/>
    <col min="12287" max="12287" width="7.28515625" style="93" customWidth="1"/>
    <col min="12288" max="12288" width="8.42578125" style="93" customWidth="1"/>
    <col min="12289" max="12289" width="6" style="93" customWidth="1"/>
    <col min="12290" max="12290" width="4.42578125" style="93" customWidth="1"/>
    <col min="12291" max="12291" width="6.28515625" style="93" customWidth="1"/>
    <col min="12292" max="12292" width="4.42578125" style="93" customWidth="1"/>
    <col min="12293" max="12293" width="7" style="93" customWidth="1"/>
    <col min="12294" max="12294" width="4.42578125" style="93" customWidth="1"/>
    <col min="12295" max="12295" width="6.42578125" style="93" customWidth="1"/>
    <col min="12296" max="12296" width="4.42578125" style="93" customWidth="1"/>
    <col min="12297" max="12297" width="5.42578125" style="93" customWidth="1"/>
    <col min="12298" max="12298" width="4.42578125" style="93" customWidth="1"/>
    <col min="12299" max="12299" width="5.28515625" style="93" customWidth="1"/>
    <col min="12300" max="12300" width="4.42578125" style="93" customWidth="1"/>
    <col min="12301" max="12301" width="5.5703125" style="93" customWidth="1"/>
    <col min="12302" max="12302" width="4.42578125" style="93" customWidth="1"/>
    <col min="12303" max="12303" width="4.85546875" style="93" customWidth="1"/>
    <col min="12304" max="12304" width="4.42578125" style="93" customWidth="1"/>
    <col min="12305" max="12305" width="5.85546875" style="93" customWidth="1"/>
    <col min="12306" max="12306" width="4.42578125" style="93" customWidth="1"/>
    <col min="12307" max="12307" width="5.42578125" style="93" customWidth="1"/>
    <col min="12308" max="12308" width="4.42578125" style="93" customWidth="1"/>
    <col min="12309" max="12309" width="5.5703125" style="93" customWidth="1"/>
    <col min="12310" max="12310" width="4.42578125" style="93" customWidth="1"/>
    <col min="12311" max="12311" width="5.140625" style="93" customWidth="1"/>
    <col min="12312" max="12312" width="4.42578125" style="93" customWidth="1"/>
    <col min="12313" max="12535" width="9.140625" style="93"/>
    <col min="12536" max="12540" width="9.140625" style="93" customWidth="1"/>
    <col min="12541" max="12541" width="5.85546875" style="93" customWidth="1"/>
    <col min="12542" max="12542" width="9.28515625" style="93" customWidth="1"/>
    <col min="12543" max="12543" width="7.28515625" style="93" customWidth="1"/>
    <col min="12544" max="12544" width="8.42578125" style="93" customWidth="1"/>
    <col min="12545" max="12545" width="6" style="93" customWidth="1"/>
    <col min="12546" max="12546" width="4.42578125" style="93" customWidth="1"/>
    <col min="12547" max="12547" width="6.28515625" style="93" customWidth="1"/>
    <col min="12548" max="12548" width="4.42578125" style="93" customWidth="1"/>
    <col min="12549" max="12549" width="7" style="93" customWidth="1"/>
    <col min="12550" max="12550" width="4.42578125" style="93" customWidth="1"/>
    <col min="12551" max="12551" width="6.42578125" style="93" customWidth="1"/>
    <col min="12552" max="12552" width="4.42578125" style="93" customWidth="1"/>
    <col min="12553" max="12553" width="5.42578125" style="93" customWidth="1"/>
    <col min="12554" max="12554" width="4.42578125" style="93" customWidth="1"/>
    <col min="12555" max="12555" width="5.28515625" style="93" customWidth="1"/>
    <col min="12556" max="12556" width="4.42578125" style="93" customWidth="1"/>
    <col min="12557" max="12557" width="5.5703125" style="93" customWidth="1"/>
    <col min="12558" max="12558" width="4.42578125" style="93" customWidth="1"/>
    <col min="12559" max="12559" width="4.85546875" style="93" customWidth="1"/>
    <col min="12560" max="12560" width="4.42578125" style="93" customWidth="1"/>
    <col min="12561" max="12561" width="5.85546875" style="93" customWidth="1"/>
    <col min="12562" max="12562" width="4.42578125" style="93" customWidth="1"/>
    <col min="12563" max="12563" width="5.42578125" style="93" customWidth="1"/>
    <col min="12564" max="12564" width="4.42578125" style="93" customWidth="1"/>
    <col min="12565" max="12565" width="5.5703125" style="93" customWidth="1"/>
    <col min="12566" max="12566" width="4.42578125" style="93" customWidth="1"/>
    <col min="12567" max="12567" width="5.140625" style="93" customWidth="1"/>
    <col min="12568" max="12568" width="4.42578125" style="93" customWidth="1"/>
    <col min="12569" max="12791" width="9.140625" style="93"/>
    <col min="12792" max="12796" width="9.140625" style="93" customWidth="1"/>
    <col min="12797" max="12797" width="5.85546875" style="93" customWidth="1"/>
    <col min="12798" max="12798" width="9.28515625" style="93" customWidth="1"/>
    <col min="12799" max="12799" width="7.28515625" style="93" customWidth="1"/>
    <col min="12800" max="12800" width="8.42578125" style="93" customWidth="1"/>
    <col min="12801" max="12801" width="6" style="93" customWidth="1"/>
    <col min="12802" max="12802" width="4.42578125" style="93" customWidth="1"/>
    <col min="12803" max="12803" width="6.28515625" style="93" customWidth="1"/>
    <col min="12804" max="12804" width="4.42578125" style="93" customWidth="1"/>
    <col min="12805" max="12805" width="7" style="93" customWidth="1"/>
    <col min="12806" max="12806" width="4.42578125" style="93" customWidth="1"/>
    <col min="12807" max="12807" width="6.42578125" style="93" customWidth="1"/>
    <col min="12808" max="12808" width="4.42578125" style="93" customWidth="1"/>
    <col min="12809" max="12809" width="5.42578125" style="93" customWidth="1"/>
    <col min="12810" max="12810" width="4.42578125" style="93" customWidth="1"/>
    <col min="12811" max="12811" width="5.28515625" style="93" customWidth="1"/>
    <col min="12812" max="12812" width="4.42578125" style="93" customWidth="1"/>
    <col min="12813" max="12813" width="5.5703125" style="93" customWidth="1"/>
    <col min="12814" max="12814" width="4.42578125" style="93" customWidth="1"/>
    <col min="12815" max="12815" width="4.85546875" style="93" customWidth="1"/>
    <col min="12816" max="12816" width="4.42578125" style="93" customWidth="1"/>
    <col min="12817" max="12817" width="5.85546875" style="93" customWidth="1"/>
    <col min="12818" max="12818" width="4.42578125" style="93" customWidth="1"/>
    <col min="12819" max="12819" width="5.42578125" style="93" customWidth="1"/>
    <col min="12820" max="12820" width="4.42578125" style="93" customWidth="1"/>
    <col min="12821" max="12821" width="5.5703125" style="93" customWidth="1"/>
    <col min="12822" max="12822" width="4.42578125" style="93" customWidth="1"/>
    <col min="12823" max="12823" width="5.140625" style="93" customWidth="1"/>
    <col min="12824" max="12824" width="4.42578125" style="93" customWidth="1"/>
    <col min="12825" max="13047" width="9.140625" style="93"/>
    <col min="13048" max="13052" width="9.140625" style="93" customWidth="1"/>
    <col min="13053" max="13053" width="5.85546875" style="93" customWidth="1"/>
    <col min="13054" max="13054" width="9.28515625" style="93" customWidth="1"/>
    <col min="13055" max="13055" width="7.28515625" style="93" customWidth="1"/>
    <col min="13056" max="13056" width="8.42578125" style="93" customWidth="1"/>
    <col min="13057" max="13057" width="6" style="93" customWidth="1"/>
    <col min="13058" max="13058" width="4.42578125" style="93" customWidth="1"/>
    <col min="13059" max="13059" width="6.28515625" style="93" customWidth="1"/>
    <col min="13060" max="13060" width="4.42578125" style="93" customWidth="1"/>
    <col min="13061" max="13061" width="7" style="93" customWidth="1"/>
    <col min="13062" max="13062" width="4.42578125" style="93" customWidth="1"/>
    <col min="13063" max="13063" width="6.42578125" style="93" customWidth="1"/>
    <col min="13064" max="13064" width="4.42578125" style="93" customWidth="1"/>
    <col min="13065" max="13065" width="5.42578125" style="93" customWidth="1"/>
    <col min="13066" max="13066" width="4.42578125" style="93" customWidth="1"/>
    <col min="13067" max="13067" width="5.28515625" style="93" customWidth="1"/>
    <col min="13068" max="13068" width="4.42578125" style="93" customWidth="1"/>
    <col min="13069" max="13069" width="5.5703125" style="93" customWidth="1"/>
    <col min="13070" max="13070" width="4.42578125" style="93" customWidth="1"/>
    <col min="13071" max="13071" width="4.85546875" style="93" customWidth="1"/>
    <col min="13072" max="13072" width="4.42578125" style="93" customWidth="1"/>
    <col min="13073" max="13073" width="5.85546875" style="93" customWidth="1"/>
    <col min="13074" max="13074" width="4.42578125" style="93" customWidth="1"/>
    <col min="13075" max="13075" width="5.42578125" style="93" customWidth="1"/>
    <col min="13076" max="13076" width="4.42578125" style="93" customWidth="1"/>
    <col min="13077" max="13077" width="5.5703125" style="93" customWidth="1"/>
    <col min="13078" max="13078" width="4.42578125" style="93" customWidth="1"/>
    <col min="13079" max="13079" width="5.140625" style="93" customWidth="1"/>
    <col min="13080" max="13080" width="4.42578125" style="93" customWidth="1"/>
    <col min="13081" max="13303" width="9.140625" style="93"/>
    <col min="13304" max="13308" width="9.140625" style="93" customWidth="1"/>
    <col min="13309" max="13309" width="5.85546875" style="93" customWidth="1"/>
    <col min="13310" max="13310" width="9.28515625" style="93" customWidth="1"/>
    <col min="13311" max="13311" width="7.28515625" style="93" customWidth="1"/>
    <col min="13312" max="13312" width="8.42578125" style="93" customWidth="1"/>
    <col min="13313" max="13313" width="6" style="93" customWidth="1"/>
    <col min="13314" max="13314" width="4.42578125" style="93" customWidth="1"/>
    <col min="13315" max="13315" width="6.28515625" style="93" customWidth="1"/>
    <col min="13316" max="13316" width="4.42578125" style="93" customWidth="1"/>
    <col min="13317" max="13317" width="7" style="93" customWidth="1"/>
    <col min="13318" max="13318" width="4.42578125" style="93" customWidth="1"/>
    <col min="13319" max="13319" width="6.42578125" style="93" customWidth="1"/>
    <col min="13320" max="13320" width="4.42578125" style="93" customWidth="1"/>
    <col min="13321" max="13321" width="5.42578125" style="93" customWidth="1"/>
    <col min="13322" max="13322" width="4.42578125" style="93" customWidth="1"/>
    <col min="13323" max="13323" width="5.28515625" style="93" customWidth="1"/>
    <col min="13324" max="13324" width="4.42578125" style="93" customWidth="1"/>
    <col min="13325" max="13325" width="5.5703125" style="93" customWidth="1"/>
    <col min="13326" max="13326" width="4.42578125" style="93" customWidth="1"/>
    <col min="13327" max="13327" width="4.85546875" style="93" customWidth="1"/>
    <col min="13328" max="13328" width="4.42578125" style="93" customWidth="1"/>
    <col min="13329" max="13329" width="5.85546875" style="93" customWidth="1"/>
    <col min="13330" max="13330" width="4.42578125" style="93" customWidth="1"/>
    <col min="13331" max="13331" width="5.42578125" style="93" customWidth="1"/>
    <col min="13332" max="13332" width="4.42578125" style="93" customWidth="1"/>
    <col min="13333" max="13333" width="5.5703125" style="93" customWidth="1"/>
    <col min="13334" max="13334" width="4.42578125" style="93" customWidth="1"/>
    <col min="13335" max="13335" width="5.140625" style="93" customWidth="1"/>
    <col min="13336" max="13336" width="4.42578125" style="93" customWidth="1"/>
    <col min="13337" max="13559" width="9.140625" style="93"/>
    <col min="13560" max="13564" width="9.140625" style="93" customWidth="1"/>
    <col min="13565" max="13565" width="5.85546875" style="93" customWidth="1"/>
    <col min="13566" max="13566" width="9.28515625" style="93" customWidth="1"/>
    <col min="13567" max="13567" width="7.28515625" style="93" customWidth="1"/>
    <col min="13568" max="13568" width="8.42578125" style="93" customWidth="1"/>
    <col min="13569" max="13569" width="6" style="93" customWidth="1"/>
    <col min="13570" max="13570" width="4.42578125" style="93" customWidth="1"/>
    <col min="13571" max="13571" width="6.28515625" style="93" customWidth="1"/>
    <col min="13572" max="13572" width="4.42578125" style="93" customWidth="1"/>
    <col min="13573" max="13573" width="7" style="93" customWidth="1"/>
    <col min="13574" max="13574" width="4.42578125" style="93" customWidth="1"/>
    <col min="13575" max="13575" width="6.42578125" style="93" customWidth="1"/>
    <col min="13576" max="13576" width="4.42578125" style="93" customWidth="1"/>
    <col min="13577" max="13577" width="5.42578125" style="93" customWidth="1"/>
    <col min="13578" max="13578" width="4.42578125" style="93" customWidth="1"/>
    <col min="13579" max="13579" width="5.28515625" style="93" customWidth="1"/>
    <col min="13580" max="13580" width="4.42578125" style="93" customWidth="1"/>
    <col min="13581" max="13581" width="5.5703125" style="93" customWidth="1"/>
    <col min="13582" max="13582" width="4.42578125" style="93" customWidth="1"/>
    <col min="13583" max="13583" width="4.85546875" style="93" customWidth="1"/>
    <col min="13584" max="13584" width="4.42578125" style="93" customWidth="1"/>
    <col min="13585" max="13585" width="5.85546875" style="93" customWidth="1"/>
    <col min="13586" max="13586" width="4.42578125" style="93" customWidth="1"/>
    <col min="13587" max="13587" width="5.42578125" style="93" customWidth="1"/>
    <col min="13588" max="13588" width="4.42578125" style="93" customWidth="1"/>
    <col min="13589" max="13589" width="5.5703125" style="93" customWidth="1"/>
    <col min="13590" max="13590" width="4.42578125" style="93" customWidth="1"/>
    <col min="13591" max="13591" width="5.140625" style="93" customWidth="1"/>
    <col min="13592" max="13592" width="4.42578125" style="93" customWidth="1"/>
    <col min="13593" max="13815" width="9.140625" style="93"/>
    <col min="13816" max="13820" width="9.140625" style="93" customWidth="1"/>
    <col min="13821" max="13821" width="5.85546875" style="93" customWidth="1"/>
    <col min="13822" max="13822" width="9.28515625" style="93" customWidth="1"/>
    <col min="13823" max="13823" width="7.28515625" style="93" customWidth="1"/>
    <col min="13824" max="13824" width="8.42578125" style="93" customWidth="1"/>
    <col min="13825" max="13825" width="6" style="93" customWidth="1"/>
    <col min="13826" max="13826" width="4.42578125" style="93" customWidth="1"/>
    <col min="13827" max="13827" width="6.28515625" style="93" customWidth="1"/>
    <col min="13828" max="13828" width="4.42578125" style="93" customWidth="1"/>
    <col min="13829" max="13829" width="7" style="93" customWidth="1"/>
    <col min="13830" max="13830" width="4.42578125" style="93" customWidth="1"/>
    <col min="13831" max="13831" width="6.42578125" style="93" customWidth="1"/>
    <col min="13832" max="13832" width="4.42578125" style="93" customWidth="1"/>
    <col min="13833" max="13833" width="5.42578125" style="93" customWidth="1"/>
    <col min="13834" max="13834" width="4.42578125" style="93" customWidth="1"/>
    <col min="13835" max="13835" width="5.28515625" style="93" customWidth="1"/>
    <col min="13836" max="13836" width="4.42578125" style="93" customWidth="1"/>
    <col min="13837" max="13837" width="5.5703125" style="93" customWidth="1"/>
    <col min="13838" max="13838" width="4.42578125" style="93" customWidth="1"/>
    <col min="13839" max="13839" width="4.85546875" style="93" customWidth="1"/>
    <col min="13840" max="13840" width="4.42578125" style="93" customWidth="1"/>
    <col min="13841" max="13841" width="5.85546875" style="93" customWidth="1"/>
    <col min="13842" max="13842" width="4.42578125" style="93" customWidth="1"/>
    <col min="13843" max="13843" width="5.42578125" style="93" customWidth="1"/>
    <col min="13844" max="13844" width="4.42578125" style="93" customWidth="1"/>
    <col min="13845" max="13845" width="5.5703125" style="93" customWidth="1"/>
    <col min="13846" max="13846" width="4.42578125" style="93" customWidth="1"/>
    <col min="13847" max="13847" width="5.140625" style="93" customWidth="1"/>
    <col min="13848" max="13848" width="4.42578125" style="93" customWidth="1"/>
    <col min="13849" max="14071" width="9.140625" style="93"/>
    <col min="14072" max="14076" width="9.140625" style="93" customWidth="1"/>
    <col min="14077" max="14077" width="5.85546875" style="93" customWidth="1"/>
    <col min="14078" max="14078" width="9.28515625" style="93" customWidth="1"/>
    <col min="14079" max="14079" width="7.28515625" style="93" customWidth="1"/>
    <col min="14080" max="14080" width="8.42578125" style="93" customWidth="1"/>
    <col min="14081" max="14081" width="6" style="93" customWidth="1"/>
    <col min="14082" max="14082" width="4.42578125" style="93" customWidth="1"/>
    <col min="14083" max="14083" width="6.28515625" style="93" customWidth="1"/>
    <col min="14084" max="14084" width="4.42578125" style="93" customWidth="1"/>
    <col min="14085" max="14085" width="7" style="93" customWidth="1"/>
    <col min="14086" max="14086" width="4.42578125" style="93" customWidth="1"/>
    <col min="14087" max="14087" width="6.42578125" style="93" customWidth="1"/>
    <col min="14088" max="14088" width="4.42578125" style="93" customWidth="1"/>
    <col min="14089" max="14089" width="5.42578125" style="93" customWidth="1"/>
    <col min="14090" max="14090" width="4.42578125" style="93" customWidth="1"/>
    <col min="14091" max="14091" width="5.28515625" style="93" customWidth="1"/>
    <col min="14092" max="14092" width="4.42578125" style="93" customWidth="1"/>
    <col min="14093" max="14093" width="5.5703125" style="93" customWidth="1"/>
    <col min="14094" max="14094" width="4.42578125" style="93" customWidth="1"/>
    <col min="14095" max="14095" width="4.85546875" style="93" customWidth="1"/>
    <col min="14096" max="14096" width="4.42578125" style="93" customWidth="1"/>
    <col min="14097" max="14097" width="5.85546875" style="93" customWidth="1"/>
    <col min="14098" max="14098" width="4.42578125" style="93" customWidth="1"/>
    <col min="14099" max="14099" width="5.42578125" style="93" customWidth="1"/>
    <col min="14100" max="14100" width="4.42578125" style="93" customWidth="1"/>
    <col min="14101" max="14101" width="5.5703125" style="93" customWidth="1"/>
    <col min="14102" max="14102" width="4.42578125" style="93" customWidth="1"/>
    <col min="14103" max="14103" width="5.140625" style="93" customWidth="1"/>
    <col min="14104" max="14104" width="4.42578125" style="93" customWidth="1"/>
    <col min="14105" max="14327" width="9.140625" style="93"/>
    <col min="14328" max="14332" width="9.140625" style="93" customWidth="1"/>
    <col min="14333" max="14333" width="5.85546875" style="93" customWidth="1"/>
    <col min="14334" max="14334" width="9.28515625" style="93" customWidth="1"/>
    <col min="14335" max="14335" width="7.28515625" style="93" customWidth="1"/>
    <col min="14336" max="14336" width="8.42578125" style="93" customWidth="1"/>
    <col min="14337" max="14337" width="6" style="93" customWidth="1"/>
    <col min="14338" max="14338" width="4.42578125" style="93" customWidth="1"/>
    <col min="14339" max="14339" width="6.28515625" style="93" customWidth="1"/>
    <col min="14340" max="14340" width="4.42578125" style="93" customWidth="1"/>
    <col min="14341" max="14341" width="7" style="93" customWidth="1"/>
    <col min="14342" max="14342" width="4.42578125" style="93" customWidth="1"/>
    <col min="14343" max="14343" width="6.42578125" style="93" customWidth="1"/>
    <col min="14344" max="14344" width="4.42578125" style="93" customWidth="1"/>
    <col min="14345" max="14345" width="5.42578125" style="93" customWidth="1"/>
    <col min="14346" max="14346" width="4.42578125" style="93" customWidth="1"/>
    <col min="14347" max="14347" width="5.28515625" style="93" customWidth="1"/>
    <col min="14348" max="14348" width="4.42578125" style="93" customWidth="1"/>
    <col min="14349" max="14349" width="5.5703125" style="93" customWidth="1"/>
    <col min="14350" max="14350" width="4.42578125" style="93" customWidth="1"/>
    <col min="14351" max="14351" width="4.85546875" style="93" customWidth="1"/>
    <col min="14352" max="14352" width="4.42578125" style="93" customWidth="1"/>
    <col min="14353" max="14353" width="5.85546875" style="93" customWidth="1"/>
    <col min="14354" max="14354" width="4.42578125" style="93" customWidth="1"/>
    <col min="14355" max="14355" width="5.42578125" style="93" customWidth="1"/>
    <col min="14356" max="14356" width="4.42578125" style="93" customWidth="1"/>
    <col min="14357" max="14357" width="5.5703125" style="93" customWidth="1"/>
    <col min="14358" max="14358" width="4.42578125" style="93" customWidth="1"/>
    <col min="14359" max="14359" width="5.140625" style="93" customWidth="1"/>
    <col min="14360" max="14360" width="4.42578125" style="93" customWidth="1"/>
    <col min="14361" max="14583" width="9.140625" style="93"/>
    <col min="14584" max="14588" width="9.140625" style="93" customWidth="1"/>
    <col min="14589" max="14589" width="5.85546875" style="93" customWidth="1"/>
    <col min="14590" max="14590" width="9.28515625" style="93" customWidth="1"/>
    <col min="14591" max="14591" width="7.28515625" style="93" customWidth="1"/>
    <col min="14592" max="14592" width="8.42578125" style="93" customWidth="1"/>
    <col min="14593" max="14593" width="6" style="93" customWidth="1"/>
    <col min="14594" max="14594" width="4.42578125" style="93" customWidth="1"/>
    <col min="14595" max="14595" width="6.28515625" style="93" customWidth="1"/>
    <col min="14596" max="14596" width="4.42578125" style="93" customWidth="1"/>
    <col min="14597" max="14597" width="7" style="93" customWidth="1"/>
    <col min="14598" max="14598" width="4.42578125" style="93" customWidth="1"/>
    <col min="14599" max="14599" width="6.42578125" style="93" customWidth="1"/>
    <col min="14600" max="14600" width="4.42578125" style="93" customWidth="1"/>
    <col min="14601" max="14601" width="5.42578125" style="93" customWidth="1"/>
    <col min="14602" max="14602" width="4.42578125" style="93" customWidth="1"/>
    <col min="14603" max="14603" width="5.28515625" style="93" customWidth="1"/>
    <col min="14604" max="14604" width="4.42578125" style="93" customWidth="1"/>
    <col min="14605" max="14605" width="5.5703125" style="93" customWidth="1"/>
    <col min="14606" max="14606" width="4.42578125" style="93" customWidth="1"/>
    <col min="14607" max="14607" width="4.85546875" style="93" customWidth="1"/>
    <col min="14608" max="14608" width="4.42578125" style="93" customWidth="1"/>
    <col min="14609" max="14609" width="5.85546875" style="93" customWidth="1"/>
    <col min="14610" max="14610" width="4.42578125" style="93" customWidth="1"/>
    <col min="14611" max="14611" width="5.42578125" style="93" customWidth="1"/>
    <col min="14612" max="14612" width="4.42578125" style="93" customWidth="1"/>
    <col min="14613" max="14613" width="5.5703125" style="93" customWidth="1"/>
    <col min="14614" max="14614" width="4.42578125" style="93" customWidth="1"/>
    <col min="14615" max="14615" width="5.140625" style="93" customWidth="1"/>
    <col min="14616" max="14616" width="4.42578125" style="93" customWidth="1"/>
    <col min="14617" max="14839" width="9.140625" style="93"/>
    <col min="14840" max="14844" width="9.140625" style="93" customWidth="1"/>
    <col min="14845" max="14845" width="5.85546875" style="93" customWidth="1"/>
    <col min="14846" max="14846" width="9.28515625" style="93" customWidth="1"/>
    <col min="14847" max="14847" width="7.28515625" style="93" customWidth="1"/>
    <col min="14848" max="14848" width="8.42578125" style="93" customWidth="1"/>
    <col min="14849" max="14849" width="6" style="93" customWidth="1"/>
    <col min="14850" max="14850" width="4.42578125" style="93" customWidth="1"/>
    <col min="14851" max="14851" width="6.28515625" style="93" customWidth="1"/>
    <col min="14852" max="14852" width="4.42578125" style="93" customWidth="1"/>
    <col min="14853" max="14853" width="7" style="93" customWidth="1"/>
    <col min="14854" max="14854" width="4.42578125" style="93" customWidth="1"/>
    <col min="14855" max="14855" width="6.42578125" style="93" customWidth="1"/>
    <col min="14856" max="14856" width="4.42578125" style="93" customWidth="1"/>
    <col min="14857" max="14857" width="5.42578125" style="93" customWidth="1"/>
    <col min="14858" max="14858" width="4.42578125" style="93" customWidth="1"/>
    <col min="14859" max="14859" width="5.28515625" style="93" customWidth="1"/>
    <col min="14860" max="14860" width="4.42578125" style="93" customWidth="1"/>
    <col min="14861" max="14861" width="5.5703125" style="93" customWidth="1"/>
    <col min="14862" max="14862" width="4.42578125" style="93" customWidth="1"/>
    <col min="14863" max="14863" width="4.85546875" style="93" customWidth="1"/>
    <col min="14864" max="14864" width="4.42578125" style="93" customWidth="1"/>
    <col min="14865" max="14865" width="5.85546875" style="93" customWidth="1"/>
    <col min="14866" max="14866" width="4.42578125" style="93" customWidth="1"/>
    <col min="14867" max="14867" width="5.42578125" style="93" customWidth="1"/>
    <col min="14868" max="14868" width="4.42578125" style="93" customWidth="1"/>
    <col min="14869" max="14869" width="5.5703125" style="93" customWidth="1"/>
    <col min="14870" max="14870" width="4.42578125" style="93" customWidth="1"/>
    <col min="14871" max="14871" width="5.140625" style="93" customWidth="1"/>
    <col min="14872" max="14872" width="4.42578125" style="93" customWidth="1"/>
    <col min="14873" max="15095" width="9.140625" style="93"/>
    <col min="15096" max="15100" width="9.140625" style="93" customWidth="1"/>
    <col min="15101" max="15101" width="5.85546875" style="93" customWidth="1"/>
    <col min="15102" max="15102" width="9.28515625" style="93" customWidth="1"/>
    <col min="15103" max="15103" width="7.28515625" style="93" customWidth="1"/>
    <col min="15104" max="15104" width="8.42578125" style="93" customWidth="1"/>
    <col min="15105" max="15105" width="6" style="93" customWidth="1"/>
    <col min="15106" max="15106" width="4.42578125" style="93" customWidth="1"/>
    <col min="15107" max="15107" width="6.28515625" style="93" customWidth="1"/>
    <col min="15108" max="15108" width="4.42578125" style="93" customWidth="1"/>
    <col min="15109" max="15109" width="7" style="93" customWidth="1"/>
    <col min="15110" max="15110" width="4.42578125" style="93" customWidth="1"/>
    <col min="15111" max="15111" width="6.42578125" style="93" customWidth="1"/>
    <col min="15112" max="15112" width="4.42578125" style="93" customWidth="1"/>
    <col min="15113" max="15113" width="5.42578125" style="93" customWidth="1"/>
    <col min="15114" max="15114" width="4.42578125" style="93" customWidth="1"/>
    <col min="15115" max="15115" width="5.28515625" style="93" customWidth="1"/>
    <col min="15116" max="15116" width="4.42578125" style="93" customWidth="1"/>
    <col min="15117" max="15117" width="5.5703125" style="93" customWidth="1"/>
    <col min="15118" max="15118" width="4.42578125" style="93" customWidth="1"/>
    <col min="15119" max="15119" width="4.85546875" style="93" customWidth="1"/>
    <col min="15120" max="15120" width="4.42578125" style="93" customWidth="1"/>
    <col min="15121" max="15121" width="5.85546875" style="93" customWidth="1"/>
    <col min="15122" max="15122" width="4.42578125" style="93" customWidth="1"/>
    <col min="15123" max="15123" width="5.42578125" style="93" customWidth="1"/>
    <col min="15124" max="15124" width="4.42578125" style="93" customWidth="1"/>
    <col min="15125" max="15125" width="5.5703125" style="93" customWidth="1"/>
    <col min="15126" max="15126" width="4.42578125" style="93" customWidth="1"/>
    <col min="15127" max="15127" width="5.140625" style="93" customWidth="1"/>
    <col min="15128" max="15128" width="4.42578125" style="93" customWidth="1"/>
    <col min="15129" max="15351" width="9.140625" style="93"/>
    <col min="15352" max="15356" width="9.140625" style="93" customWidth="1"/>
    <col min="15357" max="15357" width="5.85546875" style="93" customWidth="1"/>
    <col min="15358" max="15358" width="9.28515625" style="93" customWidth="1"/>
    <col min="15359" max="15359" width="7.28515625" style="93" customWidth="1"/>
    <col min="15360" max="15360" width="8.42578125" style="93" customWidth="1"/>
    <col min="15361" max="15361" width="6" style="93" customWidth="1"/>
    <col min="15362" max="15362" width="4.42578125" style="93" customWidth="1"/>
    <col min="15363" max="15363" width="6.28515625" style="93" customWidth="1"/>
    <col min="15364" max="15364" width="4.42578125" style="93" customWidth="1"/>
    <col min="15365" max="15365" width="7" style="93" customWidth="1"/>
    <col min="15366" max="15366" width="4.42578125" style="93" customWidth="1"/>
    <col min="15367" max="15367" width="6.42578125" style="93" customWidth="1"/>
    <col min="15368" max="15368" width="4.42578125" style="93" customWidth="1"/>
    <col min="15369" max="15369" width="5.42578125" style="93" customWidth="1"/>
    <col min="15370" max="15370" width="4.42578125" style="93" customWidth="1"/>
    <col min="15371" max="15371" width="5.28515625" style="93" customWidth="1"/>
    <col min="15372" max="15372" width="4.42578125" style="93" customWidth="1"/>
    <col min="15373" max="15373" width="5.5703125" style="93" customWidth="1"/>
    <col min="15374" max="15374" width="4.42578125" style="93" customWidth="1"/>
    <col min="15375" max="15375" width="4.85546875" style="93" customWidth="1"/>
    <col min="15376" max="15376" width="4.42578125" style="93" customWidth="1"/>
    <col min="15377" max="15377" width="5.85546875" style="93" customWidth="1"/>
    <col min="15378" max="15378" width="4.42578125" style="93" customWidth="1"/>
    <col min="15379" max="15379" width="5.42578125" style="93" customWidth="1"/>
    <col min="15380" max="15380" width="4.42578125" style="93" customWidth="1"/>
    <col min="15381" max="15381" width="5.5703125" style="93" customWidth="1"/>
    <col min="15382" max="15382" width="4.42578125" style="93" customWidth="1"/>
    <col min="15383" max="15383" width="5.140625" style="93" customWidth="1"/>
    <col min="15384" max="15384" width="4.42578125" style="93" customWidth="1"/>
    <col min="15385" max="15607" width="9.140625" style="93"/>
    <col min="15608" max="15612" width="9.140625" style="93" customWidth="1"/>
    <col min="15613" max="15613" width="5.85546875" style="93" customWidth="1"/>
    <col min="15614" max="15614" width="9.28515625" style="93" customWidth="1"/>
    <col min="15615" max="15615" width="7.28515625" style="93" customWidth="1"/>
    <col min="15616" max="15616" width="8.42578125" style="93" customWidth="1"/>
    <col min="15617" max="15617" width="6" style="93" customWidth="1"/>
    <col min="15618" max="15618" width="4.42578125" style="93" customWidth="1"/>
    <col min="15619" max="15619" width="6.28515625" style="93" customWidth="1"/>
    <col min="15620" max="15620" width="4.42578125" style="93" customWidth="1"/>
    <col min="15621" max="15621" width="7" style="93" customWidth="1"/>
    <col min="15622" max="15622" width="4.42578125" style="93" customWidth="1"/>
    <col min="15623" max="15623" width="6.42578125" style="93" customWidth="1"/>
    <col min="15624" max="15624" width="4.42578125" style="93" customWidth="1"/>
    <col min="15625" max="15625" width="5.42578125" style="93" customWidth="1"/>
    <col min="15626" max="15626" width="4.42578125" style="93" customWidth="1"/>
    <col min="15627" max="15627" width="5.28515625" style="93" customWidth="1"/>
    <col min="15628" max="15628" width="4.42578125" style="93" customWidth="1"/>
    <col min="15629" max="15629" width="5.5703125" style="93" customWidth="1"/>
    <col min="15630" max="15630" width="4.42578125" style="93" customWidth="1"/>
    <col min="15631" max="15631" width="4.85546875" style="93" customWidth="1"/>
    <col min="15632" max="15632" width="4.42578125" style="93" customWidth="1"/>
    <col min="15633" max="15633" width="5.85546875" style="93" customWidth="1"/>
    <col min="15634" max="15634" width="4.42578125" style="93" customWidth="1"/>
    <col min="15635" max="15635" width="5.42578125" style="93" customWidth="1"/>
    <col min="15636" max="15636" width="4.42578125" style="93" customWidth="1"/>
    <col min="15637" max="15637" width="5.5703125" style="93" customWidth="1"/>
    <col min="15638" max="15638" width="4.42578125" style="93" customWidth="1"/>
    <col min="15639" max="15639" width="5.140625" style="93" customWidth="1"/>
    <col min="15640" max="15640" width="4.42578125" style="93" customWidth="1"/>
    <col min="15641" max="15863" width="9.140625" style="93"/>
    <col min="15864" max="15868" width="9.140625" style="93" customWidth="1"/>
    <col min="15869" max="15869" width="5.85546875" style="93" customWidth="1"/>
    <col min="15870" max="15870" width="9.28515625" style="93" customWidth="1"/>
    <col min="15871" max="15871" width="7.28515625" style="93" customWidth="1"/>
    <col min="15872" max="15872" width="8.42578125" style="93" customWidth="1"/>
    <col min="15873" max="15873" width="6" style="93" customWidth="1"/>
    <col min="15874" max="15874" width="4.42578125" style="93" customWidth="1"/>
    <col min="15875" max="15875" width="6.28515625" style="93" customWidth="1"/>
    <col min="15876" max="15876" width="4.42578125" style="93" customWidth="1"/>
    <col min="15877" max="15877" width="7" style="93" customWidth="1"/>
    <col min="15878" max="15878" width="4.42578125" style="93" customWidth="1"/>
    <col min="15879" max="15879" width="6.42578125" style="93" customWidth="1"/>
    <col min="15880" max="15880" width="4.42578125" style="93" customWidth="1"/>
    <col min="15881" max="15881" width="5.42578125" style="93" customWidth="1"/>
    <col min="15882" max="15882" width="4.42578125" style="93" customWidth="1"/>
    <col min="15883" max="15883" width="5.28515625" style="93" customWidth="1"/>
    <col min="15884" max="15884" width="4.42578125" style="93" customWidth="1"/>
    <col min="15885" max="15885" width="5.5703125" style="93" customWidth="1"/>
    <col min="15886" max="15886" width="4.42578125" style="93" customWidth="1"/>
    <col min="15887" max="15887" width="4.85546875" style="93" customWidth="1"/>
    <col min="15888" max="15888" width="4.42578125" style="93" customWidth="1"/>
    <col min="15889" max="15889" width="5.85546875" style="93" customWidth="1"/>
    <col min="15890" max="15890" width="4.42578125" style="93" customWidth="1"/>
    <col min="15891" max="15891" width="5.42578125" style="93" customWidth="1"/>
    <col min="15892" max="15892" width="4.42578125" style="93" customWidth="1"/>
    <col min="15893" max="15893" width="5.5703125" style="93" customWidth="1"/>
    <col min="15894" max="15894" width="4.42578125" style="93" customWidth="1"/>
    <col min="15895" max="15895" width="5.140625" style="93" customWidth="1"/>
    <col min="15896" max="15896" width="4.42578125" style="93" customWidth="1"/>
    <col min="15897" max="16119" width="9.140625" style="93"/>
    <col min="16120" max="16124" width="9.140625" style="93" customWidth="1"/>
    <col min="16125" max="16125" width="5.85546875" style="93" customWidth="1"/>
    <col min="16126" max="16126" width="9.28515625" style="93" customWidth="1"/>
    <col min="16127" max="16127" width="7.28515625" style="93" customWidth="1"/>
    <col min="16128" max="16128" width="8.42578125" style="93" customWidth="1"/>
    <col min="16129" max="16129" width="6" style="93" customWidth="1"/>
    <col min="16130" max="16130" width="4.42578125" style="93" customWidth="1"/>
    <col min="16131" max="16131" width="6.28515625" style="93" customWidth="1"/>
    <col min="16132" max="16132" width="4.42578125" style="93" customWidth="1"/>
    <col min="16133" max="16133" width="7" style="93" customWidth="1"/>
    <col min="16134" max="16134" width="4.42578125" style="93" customWidth="1"/>
    <col min="16135" max="16135" width="6.42578125" style="93" customWidth="1"/>
    <col min="16136" max="16136" width="4.42578125" style="93" customWidth="1"/>
    <col min="16137" max="16137" width="5.42578125" style="93" customWidth="1"/>
    <col min="16138" max="16138" width="4.42578125" style="93" customWidth="1"/>
    <col min="16139" max="16139" width="5.28515625" style="93" customWidth="1"/>
    <col min="16140" max="16140" width="4.42578125" style="93" customWidth="1"/>
    <col min="16141" max="16141" width="5.5703125" style="93" customWidth="1"/>
    <col min="16142" max="16142" width="4.42578125" style="93" customWidth="1"/>
    <col min="16143" max="16143" width="4.85546875" style="93" customWidth="1"/>
    <col min="16144" max="16144" width="4.42578125" style="93" customWidth="1"/>
    <col min="16145" max="16145" width="5.85546875" style="93" customWidth="1"/>
    <col min="16146" max="16146" width="4.42578125" style="93" customWidth="1"/>
    <col min="16147" max="16147" width="5.42578125" style="93" customWidth="1"/>
    <col min="16148" max="16148" width="4.42578125" style="93" customWidth="1"/>
    <col min="16149" max="16149" width="5.5703125" style="93" customWidth="1"/>
    <col min="16150" max="16150" width="4.42578125" style="93" customWidth="1"/>
    <col min="16151" max="16151" width="5.140625" style="93" customWidth="1"/>
    <col min="16152" max="16152" width="4.42578125" style="93" customWidth="1"/>
    <col min="16153" max="16384" width="9.140625" style="93"/>
  </cols>
  <sheetData>
    <row r="2" spans="1:31" s="412" customFormat="1">
      <c r="A2" s="488" t="s">
        <v>867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</row>
    <row r="3" spans="1:31" s="412" customFormat="1">
      <c r="A3" s="488" t="s">
        <v>350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</row>
    <row r="4" spans="1:31" s="412" customFormat="1">
      <c r="A4" s="413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</row>
    <row r="5" spans="1:31" s="414" customFormat="1" ht="15.75" customHeight="1">
      <c r="A5" s="487" t="s">
        <v>785</v>
      </c>
      <c r="B5" s="487" t="s">
        <v>786</v>
      </c>
      <c r="C5" s="487" t="s">
        <v>500</v>
      </c>
      <c r="D5" s="487" t="s">
        <v>501</v>
      </c>
      <c r="E5" s="453"/>
      <c r="F5" s="453"/>
      <c r="G5" s="487" t="s">
        <v>784</v>
      </c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</row>
    <row r="6" spans="1:31" s="414" customFormat="1" ht="15.75" customHeight="1">
      <c r="A6" s="487"/>
      <c r="B6" s="487"/>
      <c r="C6" s="487"/>
      <c r="D6" s="487"/>
      <c r="E6" s="453"/>
      <c r="F6" s="453"/>
      <c r="G6" s="487" t="s">
        <v>502</v>
      </c>
      <c r="H6" s="487"/>
      <c r="I6" s="487"/>
      <c r="J6" s="487"/>
      <c r="K6" s="487" t="s">
        <v>503</v>
      </c>
      <c r="L6" s="487"/>
      <c r="M6" s="487"/>
      <c r="N6" s="487"/>
      <c r="O6" s="487" t="s">
        <v>504</v>
      </c>
      <c r="P6" s="487"/>
      <c r="Q6" s="487"/>
      <c r="R6" s="487"/>
      <c r="S6" s="487" t="s">
        <v>505</v>
      </c>
      <c r="T6" s="487"/>
      <c r="U6" s="487"/>
      <c r="V6" s="487"/>
      <c r="W6" s="487" t="s">
        <v>506</v>
      </c>
      <c r="X6" s="487"/>
      <c r="Y6" s="487"/>
      <c r="Z6" s="487"/>
      <c r="AA6" s="487" t="s">
        <v>507</v>
      </c>
      <c r="AB6" s="487"/>
      <c r="AC6" s="487"/>
      <c r="AD6" s="487"/>
    </row>
    <row r="7" spans="1:31" s="414" customFormat="1" ht="15.75" customHeight="1">
      <c r="A7" s="487"/>
      <c r="B7" s="487"/>
      <c r="C7" s="487"/>
      <c r="D7" s="487"/>
      <c r="E7" s="453"/>
      <c r="F7" s="453"/>
      <c r="G7" s="487" t="s">
        <v>191</v>
      </c>
      <c r="H7" s="487"/>
      <c r="I7" s="487" t="s">
        <v>508</v>
      </c>
      <c r="J7" s="487"/>
      <c r="K7" s="487" t="s">
        <v>191</v>
      </c>
      <c r="L7" s="487"/>
      <c r="M7" s="487" t="s">
        <v>508</v>
      </c>
      <c r="N7" s="487"/>
      <c r="O7" s="487" t="s">
        <v>191</v>
      </c>
      <c r="P7" s="487"/>
      <c r="Q7" s="487" t="s">
        <v>508</v>
      </c>
      <c r="R7" s="487"/>
      <c r="S7" s="487" t="s">
        <v>191</v>
      </c>
      <c r="T7" s="487"/>
      <c r="U7" s="487" t="s">
        <v>508</v>
      </c>
      <c r="V7" s="487"/>
      <c r="W7" s="487" t="s">
        <v>191</v>
      </c>
      <c r="X7" s="487"/>
      <c r="Y7" s="487" t="s">
        <v>508</v>
      </c>
      <c r="Z7" s="487"/>
      <c r="AA7" s="487" t="s">
        <v>191</v>
      </c>
      <c r="AB7" s="487"/>
      <c r="AC7" s="487" t="s">
        <v>508</v>
      </c>
      <c r="AD7" s="487"/>
    </row>
    <row r="8" spans="1:31" s="414" customFormat="1" ht="15.75" customHeight="1">
      <c r="A8" s="487"/>
      <c r="B8" s="487"/>
      <c r="C8" s="487"/>
      <c r="D8" s="487"/>
      <c r="E8" s="453"/>
      <c r="F8" s="453"/>
      <c r="G8" s="453" t="s">
        <v>509</v>
      </c>
      <c r="H8" s="453" t="s">
        <v>297</v>
      </c>
      <c r="I8" s="453" t="s">
        <v>509</v>
      </c>
      <c r="J8" s="453" t="s">
        <v>297</v>
      </c>
      <c r="K8" s="453" t="s">
        <v>509</v>
      </c>
      <c r="L8" s="453" t="s">
        <v>297</v>
      </c>
      <c r="M8" s="453" t="s">
        <v>509</v>
      </c>
      <c r="N8" s="453" t="s">
        <v>297</v>
      </c>
      <c r="O8" s="453" t="s">
        <v>509</v>
      </c>
      <c r="P8" s="453" t="s">
        <v>297</v>
      </c>
      <c r="Q8" s="453" t="s">
        <v>509</v>
      </c>
      <c r="R8" s="453" t="s">
        <v>297</v>
      </c>
      <c r="S8" s="453" t="s">
        <v>509</v>
      </c>
      <c r="T8" s="453" t="s">
        <v>297</v>
      </c>
      <c r="U8" s="453" t="s">
        <v>509</v>
      </c>
      <c r="V8" s="453" t="s">
        <v>297</v>
      </c>
      <c r="W8" s="453" t="s">
        <v>509</v>
      </c>
      <c r="X8" s="453" t="s">
        <v>297</v>
      </c>
      <c r="Y8" s="453" t="s">
        <v>509</v>
      </c>
      <c r="Z8" s="453" t="s">
        <v>297</v>
      </c>
      <c r="AA8" s="453" t="s">
        <v>509</v>
      </c>
      <c r="AB8" s="453" t="s">
        <v>297</v>
      </c>
      <c r="AC8" s="453" t="s">
        <v>509</v>
      </c>
      <c r="AD8" s="453" t="s">
        <v>297</v>
      </c>
    </row>
    <row r="9" spans="1:31" s="415" customFormat="1" ht="15.75" customHeight="1">
      <c r="A9" s="416">
        <v>1</v>
      </c>
      <c r="B9" s="417">
        <v>6157</v>
      </c>
      <c r="C9" s="417">
        <v>24</v>
      </c>
      <c r="D9" s="417">
        <f t="shared" ref="D9" si="0">B9-C9</f>
        <v>6133</v>
      </c>
      <c r="E9" s="417">
        <v>3507.5</v>
      </c>
      <c r="F9" s="417">
        <f>D9*E9</f>
        <v>21511497.5</v>
      </c>
      <c r="G9" s="418">
        <v>2108.4605359999996</v>
      </c>
      <c r="H9" s="419">
        <f>G9/D9*100</f>
        <v>34.378942377303105</v>
      </c>
      <c r="I9" s="418">
        <v>2080.6</v>
      </c>
      <c r="J9" s="419">
        <f>I9/D9*100</f>
        <v>33.924669819011896</v>
      </c>
      <c r="K9" s="418">
        <v>3274.122464</v>
      </c>
      <c r="L9" s="419">
        <f>K9/D9*100</f>
        <v>53.385332855046471</v>
      </c>
      <c r="M9" s="418">
        <v>3391</v>
      </c>
      <c r="N9" s="419">
        <f>M9/D9*100</f>
        <v>55.291048426544918</v>
      </c>
      <c r="O9" s="418">
        <v>167.69065599999999</v>
      </c>
      <c r="P9" s="419">
        <f>O9/D9*100</f>
        <v>2.7342353823577366</v>
      </c>
      <c r="Q9" s="418">
        <v>147</v>
      </c>
      <c r="R9" s="419">
        <f>Q9/D9*100</f>
        <v>2.3968693950758193</v>
      </c>
      <c r="S9" s="418">
        <v>13.477904000000001</v>
      </c>
      <c r="T9" s="419">
        <f>S9/D9*100</f>
        <v>0.21976037828142836</v>
      </c>
      <c r="U9" s="418">
        <v>11.7</v>
      </c>
      <c r="V9" s="419">
        <f>U9/D9*100</f>
        <v>0.19077123756725906</v>
      </c>
      <c r="W9" s="418">
        <v>260.51388800000001</v>
      </c>
      <c r="X9" s="419">
        <f>W9/D9*100</f>
        <v>4.2477398989075494</v>
      </c>
      <c r="Y9" s="418">
        <v>312</v>
      </c>
      <c r="Z9" s="419">
        <f>Y9/D9*100</f>
        <v>5.0872330017935754</v>
      </c>
      <c r="AA9" s="418">
        <v>319.73455200000041</v>
      </c>
      <c r="AB9" s="419">
        <f>AA9/D9*100</f>
        <v>5.2133466818848913</v>
      </c>
      <c r="AC9" s="418">
        <v>319</v>
      </c>
      <c r="AD9" s="419">
        <f>AC9/D9*100</f>
        <v>5.2013696396543292</v>
      </c>
    </row>
    <row r="10" spans="1:31" s="415" customFormat="1" ht="15.75" customHeight="1">
      <c r="A10" s="416">
        <v>2</v>
      </c>
      <c r="B10" s="417">
        <v>138</v>
      </c>
      <c r="C10" s="417">
        <v>0.96599999999999986</v>
      </c>
      <c r="D10" s="417">
        <f t="shared" ref="D10" si="1">B10-C10</f>
        <v>137.03399999999999</v>
      </c>
      <c r="E10" s="417">
        <v>3206.13</v>
      </c>
      <c r="F10" s="417">
        <f>D10*E10</f>
        <v>439348.81841999997</v>
      </c>
      <c r="G10" s="418">
        <v>45.084186000000003</v>
      </c>
      <c r="H10" s="419">
        <f t="shared" ref="H10" si="2">G10/D10*100</f>
        <v>32.9</v>
      </c>
      <c r="I10" s="418">
        <v>45.1</v>
      </c>
      <c r="J10" s="419">
        <f t="shared" ref="J10" si="3">I10/D10*100</f>
        <v>32.911540201701769</v>
      </c>
      <c r="K10" s="418">
        <v>70.983611999999994</v>
      </c>
      <c r="L10" s="419">
        <f t="shared" ref="L10" si="4">K10/D10*100</f>
        <v>51.800000000000004</v>
      </c>
      <c r="M10" s="418">
        <v>78</v>
      </c>
      <c r="N10" s="419">
        <f t="shared" ref="N10" si="5">M10/D10*100</f>
        <v>56.920180393187096</v>
      </c>
      <c r="O10" s="418">
        <v>4.1110199999999999</v>
      </c>
      <c r="P10" s="419">
        <f t="shared" ref="P10" si="6">O10/D10*100</f>
        <v>3.0000000000000004</v>
      </c>
      <c r="Q10" s="418">
        <v>3.1</v>
      </c>
      <c r="R10" s="419">
        <f t="shared" ref="R10" si="7">Q10/D10*100</f>
        <v>2.2622122976779488</v>
      </c>
      <c r="S10" s="418">
        <v>0.54813599999999996</v>
      </c>
      <c r="T10" s="419">
        <f t="shared" ref="T10" si="8">S10/D10*100</f>
        <v>0.4</v>
      </c>
      <c r="U10" s="418">
        <v>0.5</v>
      </c>
      <c r="V10" s="419">
        <f t="shared" ref="V10" si="9">U10/D10*100</f>
        <v>0.36487295123837882</v>
      </c>
      <c r="W10" s="418">
        <v>6.4405979999999996</v>
      </c>
      <c r="X10" s="419">
        <f t="shared" ref="X10" si="10">W10/D10*100</f>
        <v>4.7</v>
      </c>
      <c r="Y10" s="418">
        <v>6.9</v>
      </c>
      <c r="Z10" s="419">
        <f t="shared" ref="Z10" si="11">Y10/D10*100</f>
        <v>5.0352467270896284</v>
      </c>
      <c r="AA10" s="418">
        <v>9.8664479999999983</v>
      </c>
      <c r="AB10" s="419">
        <f t="shared" ref="AB10" si="12">AA10/D10*100</f>
        <v>7.1999999999999993</v>
      </c>
      <c r="AC10" s="418">
        <v>2.9339999999999975</v>
      </c>
      <c r="AD10" s="419">
        <f t="shared" ref="AD10" si="13">AC10/D10*100</f>
        <v>2.1410744778668049</v>
      </c>
    </row>
    <row r="11" spans="1:31" s="415" customFormat="1" ht="15.75" hidden="1" customHeight="1">
      <c r="A11" s="416">
        <v>3</v>
      </c>
      <c r="B11" s="417"/>
      <c r="C11" s="417"/>
      <c r="D11" s="417"/>
      <c r="E11" s="417"/>
      <c r="F11" s="417"/>
      <c r="G11" s="417"/>
      <c r="H11" s="420"/>
      <c r="I11" s="417"/>
      <c r="J11" s="420"/>
      <c r="K11" s="417"/>
      <c r="L11" s="420"/>
      <c r="M11" s="417"/>
      <c r="N11" s="420"/>
      <c r="O11" s="417"/>
      <c r="P11" s="420"/>
      <c r="Q11" s="417"/>
      <c r="R11" s="420"/>
      <c r="S11" s="417"/>
      <c r="T11" s="420"/>
      <c r="U11" s="417"/>
      <c r="V11" s="420"/>
      <c r="W11" s="417"/>
      <c r="X11" s="420"/>
      <c r="Y11" s="417"/>
      <c r="Z11" s="420"/>
      <c r="AA11" s="417"/>
      <c r="AB11" s="420"/>
      <c r="AC11" s="417"/>
      <c r="AD11" s="420"/>
    </row>
    <row r="12" spans="1:31" s="415" customFormat="1" ht="15.75" hidden="1" customHeight="1">
      <c r="A12" s="416">
        <v>4</v>
      </c>
      <c r="B12" s="417"/>
      <c r="C12" s="417"/>
      <c r="D12" s="417"/>
      <c r="E12" s="417"/>
      <c r="F12" s="417"/>
      <c r="G12" s="421"/>
      <c r="H12" s="419"/>
      <c r="I12" s="421"/>
      <c r="J12" s="419"/>
      <c r="K12" s="421"/>
      <c r="L12" s="419"/>
      <c r="M12" s="421"/>
      <c r="N12" s="419"/>
      <c r="O12" s="421"/>
      <c r="P12" s="419"/>
      <c r="Q12" s="421"/>
      <c r="R12" s="419"/>
      <c r="S12" s="421"/>
      <c r="T12" s="419"/>
      <c r="U12" s="421"/>
      <c r="V12" s="419"/>
      <c r="W12" s="421"/>
      <c r="X12" s="419"/>
      <c r="Y12" s="421"/>
      <c r="Z12" s="419"/>
      <c r="AA12" s="421"/>
      <c r="AB12" s="419"/>
      <c r="AC12" s="421"/>
      <c r="AD12" s="419"/>
    </row>
    <row r="13" spans="1:31" s="415" customFormat="1" ht="15.75" hidden="1" customHeight="1">
      <c r="A13" s="416">
        <v>5</v>
      </c>
      <c r="B13" s="417"/>
      <c r="C13" s="417"/>
      <c r="D13" s="417"/>
      <c r="E13" s="417"/>
      <c r="F13" s="417"/>
      <c r="G13" s="417"/>
      <c r="H13" s="420"/>
      <c r="I13" s="417"/>
      <c r="J13" s="420"/>
      <c r="K13" s="417"/>
      <c r="L13" s="420"/>
      <c r="M13" s="417"/>
      <c r="N13" s="420"/>
      <c r="O13" s="417"/>
      <c r="P13" s="420"/>
      <c r="Q13" s="417"/>
      <c r="R13" s="420"/>
      <c r="S13" s="417"/>
      <c r="T13" s="420"/>
      <c r="U13" s="417"/>
      <c r="V13" s="420"/>
      <c r="W13" s="417"/>
      <c r="X13" s="420"/>
      <c r="Y13" s="417"/>
      <c r="Z13" s="420"/>
      <c r="AA13" s="417"/>
      <c r="AB13" s="420"/>
      <c r="AC13" s="417"/>
      <c r="AD13" s="420"/>
    </row>
    <row r="14" spans="1:31" s="415" customFormat="1" ht="15.75" customHeight="1">
      <c r="A14" s="422"/>
      <c r="B14" s="423">
        <f>SUM(B9:B13)</f>
        <v>6295</v>
      </c>
      <c r="C14" s="423">
        <f t="shared" ref="C14:AC14" si="14">SUM(C9:C13)</f>
        <v>24.966000000000001</v>
      </c>
      <c r="D14" s="423">
        <f t="shared" si="14"/>
        <v>6270.0339999999997</v>
      </c>
      <c r="E14" s="423">
        <f t="shared" si="14"/>
        <v>6713.63</v>
      </c>
      <c r="F14" s="423">
        <f t="shared" si="14"/>
        <v>21950846.31842</v>
      </c>
      <c r="G14" s="423">
        <f t="shared" si="14"/>
        <v>2153.5447219999996</v>
      </c>
      <c r="H14" s="424">
        <f t="shared" ref="H14" si="15">G14/D14*100</f>
        <v>34.346619523913262</v>
      </c>
      <c r="I14" s="423">
        <f t="shared" si="14"/>
        <v>2125.6999999999998</v>
      </c>
      <c r="J14" s="424">
        <f t="shared" ref="J14" si="16">I14/D14*100</f>
        <v>33.902527482307107</v>
      </c>
      <c r="K14" s="423">
        <f t="shared" si="14"/>
        <v>3345.106076</v>
      </c>
      <c r="L14" s="424">
        <f t="shared" ref="L14" si="17">K14/D14*100</f>
        <v>53.350684796924554</v>
      </c>
      <c r="M14" s="423">
        <f t="shared" si="14"/>
        <v>3469</v>
      </c>
      <c r="N14" s="424">
        <f t="shared" ref="N14" si="18">M14/D14*100</f>
        <v>55.326653731064305</v>
      </c>
      <c r="O14" s="423">
        <f t="shared" si="14"/>
        <v>171.80167599999999</v>
      </c>
      <c r="P14" s="424">
        <f t="shared" ref="P14" si="19">O14/D14*100</f>
        <v>2.7400437700975786</v>
      </c>
      <c r="Q14" s="423">
        <f t="shared" si="14"/>
        <v>150.1</v>
      </c>
      <c r="R14" s="424">
        <f t="shared" ref="R14" si="20">Q14/D14*100</f>
        <v>2.3939264125202508</v>
      </c>
      <c r="S14" s="423">
        <f t="shared" si="14"/>
        <v>14.02604</v>
      </c>
      <c r="T14" s="424">
        <f t="shared" ref="T14" si="21">S14/D14*100</f>
        <v>0.22369958440416754</v>
      </c>
      <c r="U14" s="423">
        <f t="shared" si="14"/>
        <v>12.2</v>
      </c>
      <c r="V14" s="424">
        <f t="shared" ref="V14" si="22">U14/D14*100</f>
        <v>0.19457629735341148</v>
      </c>
      <c r="W14" s="423">
        <f t="shared" si="14"/>
        <v>266.95448600000003</v>
      </c>
      <c r="X14" s="424">
        <f t="shared" ref="X14" si="23">W14/D14*100</f>
        <v>4.2576242170297647</v>
      </c>
      <c r="Y14" s="423">
        <f t="shared" si="14"/>
        <v>318.89999999999998</v>
      </c>
      <c r="Z14" s="424">
        <f t="shared" ref="Z14" si="24">Y14/D14*100</f>
        <v>5.0860968218035181</v>
      </c>
      <c r="AA14" s="423">
        <f t="shared" si="14"/>
        <v>329.6010000000004</v>
      </c>
      <c r="AB14" s="424">
        <f t="shared" ref="AB14" si="25">AA14/D14*100</f>
        <v>5.2567657527853981</v>
      </c>
      <c r="AC14" s="423">
        <f t="shared" si="14"/>
        <v>321.93399999999997</v>
      </c>
      <c r="AD14" s="424">
        <f t="shared" ref="AD14" si="26">AC14/D14*100</f>
        <v>5.1344857141125546</v>
      </c>
    </row>
    <row r="15" spans="1:31" s="426" customFormat="1" ht="15" hidden="1" customHeight="1">
      <c r="A15" s="425"/>
      <c r="B15" s="448" t="s">
        <v>857</v>
      </c>
      <c r="C15" s="443"/>
      <c r="D15" s="443"/>
      <c r="E15" s="443"/>
      <c r="F15" s="443"/>
      <c r="G15" s="443"/>
      <c r="H15" s="444"/>
      <c r="I15" s="423" t="e">
        <f>#REF!</f>
        <v>#REF!</v>
      </c>
      <c r="J15" s="423" t="e">
        <f>I14-I15</f>
        <v>#REF!</v>
      </c>
      <c r="K15" s="423"/>
      <c r="L15" s="423"/>
      <c r="M15" s="423" t="e">
        <f>#REF!+#REF!</f>
        <v>#REF!</v>
      </c>
      <c r="N15" s="423" t="e">
        <f>M14-M15</f>
        <v>#REF!</v>
      </c>
      <c r="O15" s="423"/>
      <c r="P15" s="423"/>
      <c r="Q15" s="423" t="e">
        <f>#REF!</f>
        <v>#REF!</v>
      </c>
      <c r="R15" s="423" t="e">
        <f>Q14-Q15</f>
        <v>#REF!</v>
      </c>
      <c r="S15" s="423"/>
      <c r="T15" s="423"/>
      <c r="U15" s="423" t="e">
        <f>#REF!</f>
        <v>#REF!</v>
      </c>
      <c r="V15" s="423" t="e">
        <f>U14-U15</f>
        <v>#REF!</v>
      </c>
      <c r="W15" s="423"/>
      <c r="X15" s="423"/>
      <c r="Y15" s="423" t="e">
        <f>#REF!</f>
        <v>#REF!</v>
      </c>
      <c r="Z15" s="423" t="e">
        <f>Y14-Y15</f>
        <v>#REF!</v>
      </c>
      <c r="AA15" s="423"/>
      <c r="AB15" s="423"/>
      <c r="AC15" s="423"/>
      <c r="AD15" s="423"/>
    </row>
    <row r="16" spans="1:31" s="426" customFormat="1" ht="15" hidden="1" customHeight="1">
      <c r="A16" s="427">
        <v>1</v>
      </c>
      <c r="B16" s="428">
        <v>14019.758</v>
      </c>
      <c r="C16" s="429">
        <v>56.079032000000005</v>
      </c>
      <c r="D16" s="428">
        <v>13963.678967999998</v>
      </c>
      <c r="E16" s="417">
        <v>3507.5</v>
      </c>
      <c r="F16" s="417">
        <f>C16*E16</f>
        <v>196697.20474000002</v>
      </c>
      <c r="G16" s="428">
        <v>4803.2643865799982</v>
      </c>
      <c r="H16" s="429">
        <f t="shared" ref="H16:H21" si="27">+G16/D16*100</f>
        <v>34.398272816121356</v>
      </c>
      <c r="I16" s="428">
        <v>4803.3280000000004</v>
      </c>
      <c r="J16" s="429">
        <f t="shared" ref="J16:J21" si="28">+I16/D16*100</f>
        <v>34.398728379588171</v>
      </c>
      <c r="K16" s="429">
        <v>7432.1119996440011</v>
      </c>
      <c r="L16" s="429">
        <f t="shared" ref="L16:L21" si="29">+K16/D16*100</f>
        <v>53.22459802087883</v>
      </c>
      <c r="M16" s="428">
        <v>7664.8594726118308</v>
      </c>
      <c r="N16" s="429">
        <f t="shared" ref="N16:N21" si="30">+M16/D16*100</f>
        <v>54.891404265144459</v>
      </c>
      <c r="O16" s="428">
        <v>382.85692498799989</v>
      </c>
      <c r="P16" s="429">
        <f t="shared" ref="P16:P21" si="31">+O16/D16*100</f>
        <v>2.7418055504239085</v>
      </c>
      <c r="Q16" s="428">
        <v>399.14251774978987</v>
      </c>
      <c r="R16" s="429">
        <f t="shared" ref="R16:R21" si="32">+Q16/D16*100</f>
        <v>2.8584337885774138</v>
      </c>
      <c r="S16" s="428">
        <v>34.51518579599999</v>
      </c>
      <c r="T16" s="429">
        <f t="shared" ref="T16:T21" si="33">+S16/D16*100</f>
        <v>0.24717831078111327</v>
      </c>
      <c r="U16" s="428">
        <v>34.459056595999982</v>
      </c>
      <c r="V16" s="429">
        <f t="shared" ref="V16:V21" si="34">+U16/D16*100</f>
        <v>0.24677634508046492</v>
      </c>
      <c r="W16" s="428">
        <v>572.4810722279999</v>
      </c>
      <c r="X16" s="429">
        <f t="shared" ref="X16:X21" si="35">+W16/D16*100</f>
        <v>4.0997868365488186</v>
      </c>
      <c r="Y16" s="428">
        <v>323.40721503421793</v>
      </c>
      <c r="Z16" s="445">
        <f t="shared" ref="Z16:Z21" si="36">+Y16/D16*100</f>
        <v>2.3160602286500374</v>
      </c>
      <c r="AA16" s="430">
        <v>738.44939876399985</v>
      </c>
      <c r="AB16" s="445">
        <f t="shared" ref="AB16:AB21" si="37">+AA16/D16*100</f>
        <v>5.2883584652459756</v>
      </c>
      <c r="AC16" s="430">
        <v>738.48270600816113</v>
      </c>
      <c r="AD16" s="445">
        <f t="shared" ref="AD16:AD21" si="38">+AC16/D16*100</f>
        <v>5.2885969929594649</v>
      </c>
      <c r="AE16" s="451">
        <f>D16-I16-M16-Q16-U16-Y16-AC16</f>
        <v>-9.0949470177292824E-13</v>
      </c>
    </row>
    <row r="17" spans="1:31" s="426" customFormat="1" ht="15" hidden="1" customHeight="1">
      <c r="A17" s="427">
        <v>2</v>
      </c>
      <c r="B17" s="428">
        <v>564.899</v>
      </c>
      <c r="C17" s="429">
        <v>3.9542929999999994</v>
      </c>
      <c r="D17" s="428">
        <v>560.94470699999988</v>
      </c>
      <c r="E17" s="417">
        <v>3206.13</v>
      </c>
      <c r="F17" s="417">
        <f t="shared" ref="F17:F20" si="39">C17*E17</f>
        <v>12677.977416089998</v>
      </c>
      <c r="G17" s="428">
        <v>185.49737393699999</v>
      </c>
      <c r="H17" s="429">
        <f t="shared" si="27"/>
        <v>33.068744855275014</v>
      </c>
      <c r="I17" s="428">
        <v>185.541</v>
      </c>
      <c r="J17" s="429">
        <f t="shared" si="28"/>
        <v>33.076522103630445</v>
      </c>
      <c r="K17" s="429">
        <v>289.990575267</v>
      </c>
      <c r="L17" s="429">
        <f t="shared" si="29"/>
        <v>51.696819962506581</v>
      </c>
      <c r="M17" s="428">
        <v>299.11657867065259</v>
      </c>
      <c r="N17" s="429">
        <f t="shared" si="30"/>
        <v>53.323718886726681</v>
      </c>
      <c r="O17" s="428">
        <v>16.926254982</v>
      </c>
      <c r="P17" s="429">
        <f t="shared" si="31"/>
        <v>3.0174551557004001</v>
      </c>
      <c r="Q17" s="428">
        <v>17.64892143845649</v>
      </c>
      <c r="R17" s="429">
        <f t="shared" si="32"/>
        <v>3.1462854035730285</v>
      </c>
      <c r="S17" s="428">
        <v>2.5568121480000001</v>
      </c>
      <c r="T17" s="429">
        <f t="shared" si="33"/>
        <v>0.45580466596683666</v>
      </c>
      <c r="U17" s="428">
        <v>2.5603899617549994</v>
      </c>
      <c r="V17" s="429">
        <f t="shared" si="34"/>
        <v>0.4564424852938313</v>
      </c>
      <c r="W17" s="428">
        <v>25.667420487000001</v>
      </c>
      <c r="X17" s="429">
        <f t="shared" si="35"/>
        <v>4.5757487621681054</v>
      </c>
      <c r="Y17" s="428">
        <v>15.866069433165897</v>
      </c>
      <c r="Z17" s="445">
        <f t="shared" si="36"/>
        <v>2.8284551463226304</v>
      </c>
      <c r="AA17" s="430">
        <v>40.306270179000009</v>
      </c>
      <c r="AB17" s="445">
        <f t="shared" si="37"/>
        <v>7.185426598383077</v>
      </c>
      <c r="AC17" s="430">
        <v>40.211747495970073</v>
      </c>
      <c r="AD17" s="445">
        <f t="shared" si="38"/>
        <v>7.1685759744534119</v>
      </c>
      <c r="AE17" s="451">
        <f t="shared" ref="AE17:AE20" si="40">D17-I17-M17-Q17-U17-Y17-AC17</f>
        <v>-1.6342482922482304E-13</v>
      </c>
    </row>
    <row r="18" spans="1:31" s="426" customFormat="1" ht="15" hidden="1" customHeight="1">
      <c r="A18" s="427">
        <v>3</v>
      </c>
      <c r="B18" s="428">
        <v>445.23599999999999</v>
      </c>
      <c r="C18" s="429">
        <v>5.7880680000000009</v>
      </c>
      <c r="D18" s="428">
        <v>439.44793199999998</v>
      </c>
      <c r="E18" s="428">
        <v>2808.57</v>
      </c>
      <c r="F18" s="417">
        <f t="shared" si="39"/>
        <v>16256.194142760003</v>
      </c>
      <c r="G18" s="428">
        <v>134.14141708800003</v>
      </c>
      <c r="H18" s="429">
        <f t="shared" si="27"/>
        <v>30.524985401000826</v>
      </c>
      <c r="I18" s="428">
        <v>134.202</v>
      </c>
      <c r="J18" s="429">
        <f t="shared" si="28"/>
        <v>30.538771542108428</v>
      </c>
      <c r="K18" s="429">
        <v>214.94506597199998</v>
      </c>
      <c r="L18" s="429">
        <f t="shared" si="29"/>
        <v>48.912521898498774</v>
      </c>
      <c r="M18" s="428">
        <v>221.70938719813884</v>
      </c>
      <c r="N18" s="429">
        <f t="shared" si="30"/>
        <v>50.451798962644531</v>
      </c>
      <c r="O18" s="428">
        <v>14.857648553999999</v>
      </c>
      <c r="P18" s="429">
        <f t="shared" si="31"/>
        <v>3.380980423865096</v>
      </c>
      <c r="Q18" s="428">
        <v>15.491995859013027</v>
      </c>
      <c r="R18" s="429">
        <f t="shared" si="32"/>
        <v>3.5253313830620159</v>
      </c>
      <c r="S18" s="428">
        <v>4.5009391139999995</v>
      </c>
      <c r="T18" s="429">
        <f t="shared" si="33"/>
        <v>1.0242258038433549</v>
      </c>
      <c r="U18" s="428">
        <v>4.4887030183800007</v>
      </c>
      <c r="V18" s="429">
        <f t="shared" si="34"/>
        <v>1.0214413794032828</v>
      </c>
      <c r="W18" s="428">
        <v>24.751695821999995</v>
      </c>
      <c r="X18" s="429">
        <f t="shared" si="35"/>
        <v>5.6324524521826618</v>
      </c>
      <c r="Y18" s="428">
        <v>17.408983484085418</v>
      </c>
      <c r="Z18" s="445">
        <f t="shared" si="36"/>
        <v>3.9615577219476865</v>
      </c>
      <c r="AA18" s="430">
        <v>46.251165449999995</v>
      </c>
      <c r="AB18" s="445">
        <f t="shared" si="37"/>
        <v>10.524834020609294</v>
      </c>
      <c r="AC18" s="430">
        <v>46.146862440382684</v>
      </c>
      <c r="AD18" s="445">
        <f t="shared" si="38"/>
        <v>10.501099010834048</v>
      </c>
      <c r="AE18" s="451">
        <f t="shared" si="40"/>
        <v>0</v>
      </c>
    </row>
    <row r="19" spans="1:31" s="426" customFormat="1" ht="15" hidden="1" customHeight="1">
      <c r="A19" s="427">
        <v>4</v>
      </c>
      <c r="B19" s="428">
        <v>58.238999999999997</v>
      </c>
      <c r="C19" s="429">
        <v>1.5724530000000001</v>
      </c>
      <c r="D19" s="428">
        <v>56.666547000000001</v>
      </c>
      <c r="E19" s="428">
        <v>2090.39</v>
      </c>
      <c r="F19" s="417">
        <f t="shared" si="39"/>
        <v>3287.0400266699999</v>
      </c>
      <c r="G19" s="428">
        <v>16.015633515000001</v>
      </c>
      <c r="H19" s="429">
        <f t="shared" si="27"/>
        <v>28.262942358213571</v>
      </c>
      <c r="I19" s="428">
        <v>15.599</v>
      </c>
      <c r="J19" s="429">
        <f t="shared" si="28"/>
        <v>27.527705190859784</v>
      </c>
      <c r="K19" s="429">
        <v>26.740098868</v>
      </c>
      <c r="L19" s="429">
        <f t="shared" si="29"/>
        <v>47.188509418087534</v>
      </c>
      <c r="M19" s="428">
        <v>27.581609779375963</v>
      </c>
      <c r="N19" s="429">
        <f t="shared" si="30"/>
        <v>48.67353180947476</v>
      </c>
      <c r="O19" s="428">
        <v>2.1123606210000001</v>
      </c>
      <c r="P19" s="429">
        <f t="shared" si="31"/>
        <v>3.7277030855612221</v>
      </c>
      <c r="Q19" s="428">
        <v>2.2025478577135948</v>
      </c>
      <c r="R19" s="429">
        <f t="shared" si="32"/>
        <v>3.8868573687992578</v>
      </c>
      <c r="S19" s="428">
        <v>0.77755640899999989</v>
      </c>
      <c r="T19" s="429">
        <f t="shared" si="33"/>
        <v>1.3721612665052625</v>
      </c>
      <c r="U19" s="428">
        <v>0.77366862695500005</v>
      </c>
      <c r="V19" s="429">
        <f t="shared" si="34"/>
        <v>1.3653004601727365</v>
      </c>
      <c r="W19" s="428">
        <v>3.2074186059999996</v>
      </c>
      <c r="X19" s="429">
        <f t="shared" si="35"/>
        <v>5.6601624341077272</v>
      </c>
      <c r="Y19" s="428">
        <v>2.712440775419215</v>
      </c>
      <c r="Z19" s="445">
        <f t="shared" si="36"/>
        <v>4.7866703002376605</v>
      </c>
      <c r="AA19" s="430">
        <v>7.8134789810000003</v>
      </c>
      <c r="AB19" s="445">
        <f t="shared" si="37"/>
        <v>13.788521437524684</v>
      </c>
      <c r="AC19" s="430">
        <v>7.7972799605362271</v>
      </c>
      <c r="AD19" s="445">
        <f t="shared" si="38"/>
        <v>13.759934870455803</v>
      </c>
      <c r="AE19" s="451">
        <f t="shared" si="40"/>
        <v>0</v>
      </c>
    </row>
    <row r="20" spans="1:31" s="426" customFormat="1" ht="15" hidden="1" customHeight="1">
      <c r="A20" s="427">
        <v>5</v>
      </c>
      <c r="B20" s="428">
        <v>0</v>
      </c>
      <c r="C20" s="429">
        <v>0</v>
      </c>
      <c r="D20" s="428">
        <v>0</v>
      </c>
      <c r="E20" s="428">
        <v>868.86</v>
      </c>
      <c r="F20" s="417">
        <f t="shared" si="39"/>
        <v>0</v>
      </c>
      <c r="G20" s="428">
        <v>0</v>
      </c>
      <c r="H20" s="429"/>
      <c r="I20" s="428">
        <v>0</v>
      </c>
      <c r="J20" s="429"/>
      <c r="K20" s="429">
        <v>0</v>
      </c>
      <c r="L20" s="429"/>
      <c r="M20" s="428">
        <v>0</v>
      </c>
      <c r="N20" s="429"/>
      <c r="O20" s="428">
        <v>0</v>
      </c>
      <c r="P20" s="429"/>
      <c r="Q20" s="428">
        <v>0</v>
      </c>
      <c r="R20" s="429"/>
      <c r="S20" s="428">
        <v>0</v>
      </c>
      <c r="T20" s="429"/>
      <c r="U20" s="428">
        <v>0</v>
      </c>
      <c r="V20" s="429"/>
      <c r="W20" s="428">
        <v>0</v>
      </c>
      <c r="X20" s="429"/>
      <c r="Y20" s="428">
        <v>0</v>
      </c>
      <c r="Z20" s="445"/>
      <c r="AA20" s="430">
        <v>0</v>
      </c>
      <c r="AB20" s="445"/>
      <c r="AC20" s="430">
        <v>0</v>
      </c>
      <c r="AD20" s="445"/>
      <c r="AE20" s="451">
        <f t="shared" si="40"/>
        <v>0</v>
      </c>
    </row>
    <row r="21" spans="1:31" s="431" customFormat="1" ht="15" hidden="1" customHeight="1">
      <c r="A21" s="449" t="s">
        <v>858</v>
      </c>
      <c r="B21" s="423">
        <f>SUM(B16:B20)</f>
        <v>15088.132</v>
      </c>
      <c r="C21" s="423">
        <f>SUM(C16:C20)</f>
        <v>67.393845999999996</v>
      </c>
      <c r="D21" s="423">
        <f>SUM(D16:D20)</f>
        <v>15020.738153999999</v>
      </c>
      <c r="E21" s="423"/>
      <c r="F21" s="423">
        <f>SUM(F16:F20)</f>
        <v>228918.41632552003</v>
      </c>
      <c r="G21" s="423">
        <f>SUM(G16:G20)</f>
        <v>5138.9188111199983</v>
      </c>
      <c r="H21" s="444">
        <f t="shared" si="27"/>
        <v>34.212158939416121</v>
      </c>
      <c r="I21" s="446">
        <f>SUM(I16:I20)</f>
        <v>5138.670000000001</v>
      </c>
      <c r="J21" s="444">
        <f t="shared" si="28"/>
        <v>34.210502488731429</v>
      </c>
      <c r="K21" s="446">
        <f>SUM(K16:K20)</f>
        <v>7963.787739751001</v>
      </c>
      <c r="L21" s="444">
        <f t="shared" si="29"/>
        <v>53.018617714404783</v>
      </c>
      <c r="M21" s="446">
        <f>SUM(M16:M20)</f>
        <v>8213.2670482599988</v>
      </c>
      <c r="N21" s="444">
        <f t="shared" si="30"/>
        <v>54.6795168390098</v>
      </c>
      <c r="O21" s="446">
        <f>SUM(O16:O20)</f>
        <v>416.75318914499985</v>
      </c>
      <c r="P21" s="444">
        <f t="shared" si="31"/>
        <v>2.7745187012265382</v>
      </c>
      <c r="Q21" s="446">
        <f>SUM(Q16:Q20)</f>
        <v>434.48598290497296</v>
      </c>
      <c r="R21" s="444">
        <f t="shared" si="32"/>
        <v>2.8925741095438111</v>
      </c>
      <c r="S21" s="446">
        <f>SUM(S16:S20)</f>
        <v>42.350493466999986</v>
      </c>
      <c r="T21" s="444">
        <f t="shared" si="33"/>
        <v>0.2819468193427106</v>
      </c>
      <c r="U21" s="446">
        <f>SUM(U16:U20)</f>
        <v>42.281818203089983</v>
      </c>
      <c r="V21" s="444">
        <f t="shared" si="34"/>
        <v>0.28148961635304454</v>
      </c>
      <c r="W21" s="446">
        <f>SUM(W16:W20)</f>
        <v>626.10760714299988</v>
      </c>
      <c r="X21" s="444">
        <f t="shared" si="35"/>
        <v>4.1682878745627319</v>
      </c>
      <c r="Y21" s="446">
        <f>SUM(Y16:Y20)</f>
        <v>359.39470872688844</v>
      </c>
      <c r="Z21" s="447">
        <f t="shared" si="36"/>
        <v>2.3926567725380541</v>
      </c>
      <c r="AA21" s="446">
        <f>SUM(AA16:AA20)</f>
        <v>832.82031337399985</v>
      </c>
      <c r="AB21" s="447">
        <f t="shared" si="37"/>
        <v>5.5444699510471196</v>
      </c>
      <c r="AC21" s="446">
        <f>SUM(AC16:AC20)</f>
        <v>832.63859590505012</v>
      </c>
      <c r="AD21" s="447">
        <f t="shared" si="38"/>
        <v>5.5432601738238798</v>
      </c>
    </row>
    <row r="22" spans="1:31" s="433" customFormat="1">
      <c r="A22" s="432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</row>
    <row r="23" spans="1:31" s="433" customFormat="1">
      <c r="A23" s="432"/>
      <c r="B23" s="435"/>
      <c r="C23" s="435"/>
      <c r="D23" s="435"/>
      <c r="I23" s="434"/>
      <c r="J23" s="434"/>
      <c r="K23" s="434"/>
      <c r="L23" s="434"/>
      <c r="M23" s="434"/>
      <c r="N23" s="434"/>
      <c r="O23" s="434"/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  <c r="AA23" s="434"/>
      <c r="AB23" s="434"/>
      <c r="AC23" s="434"/>
      <c r="AD23" s="434"/>
    </row>
    <row r="24" spans="1:31" s="436" customFormat="1" ht="21" customHeight="1">
      <c r="A24" s="432"/>
      <c r="C24" s="437" t="s">
        <v>513</v>
      </c>
      <c r="G24" s="437"/>
      <c r="H24" s="437"/>
      <c r="I24" s="437"/>
      <c r="J24" s="437"/>
      <c r="K24" s="93"/>
      <c r="L24" s="433"/>
      <c r="M24" s="433"/>
      <c r="N24" s="433"/>
      <c r="O24" s="438"/>
      <c r="P24" s="439"/>
      <c r="Q24" s="438"/>
      <c r="R24" s="439"/>
      <c r="S24" s="439"/>
      <c r="T24" s="437"/>
      <c r="U24" s="437"/>
      <c r="V24" s="437"/>
      <c r="W24" s="437"/>
      <c r="X24" s="437"/>
    </row>
    <row r="25" spans="1:31" s="436" customFormat="1" ht="30.75" customHeight="1">
      <c r="A25" s="432"/>
      <c r="C25" s="437" t="s">
        <v>514</v>
      </c>
      <c r="G25" s="437"/>
      <c r="H25" s="437"/>
      <c r="I25" s="437"/>
      <c r="J25" s="437"/>
      <c r="K25" s="93"/>
      <c r="L25" s="93"/>
      <c r="M25" s="93"/>
      <c r="N25" s="93"/>
      <c r="O25" s="438"/>
      <c r="P25" s="439"/>
      <c r="Q25" s="438"/>
      <c r="R25" s="439"/>
      <c r="S25" s="439"/>
      <c r="T25" s="437"/>
      <c r="U25" s="437"/>
      <c r="V25" s="437"/>
      <c r="W25" s="437"/>
      <c r="X25" s="437"/>
    </row>
    <row r="26" spans="1:31" s="436" customFormat="1" ht="30.75" customHeight="1">
      <c r="A26" s="432"/>
      <c r="C26" s="437" t="s">
        <v>515</v>
      </c>
      <c r="G26" s="437"/>
      <c r="H26" s="437"/>
      <c r="I26" s="437"/>
      <c r="J26" s="437"/>
      <c r="K26" s="93"/>
      <c r="L26" s="93"/>
      <c r="M26" s="93"/>
      <c r="N26" s="93"/>
      <c r="O26" s="438"/>
      <c r="P26" s="439"/>
      <c r="Q26" s="438"/>
      <c r="R26" s="439"/>
      <c r="S26" s="439"/>
      <c r="T26" s="437"/>
      <c r="U26" s="437"/>
      <c r="V26" s="437"/>
      <c r="W26" s="437"/>
      <c r="X26" s="437"/>
    </row>
    <row r="27" spans="1:31" s="433" customFormat="1">
      <c r="A27" s="432"/>
      <c r="D27" s="440"/>
      <c r="E27" s="440"/>
      <c r="F27" s="440"/>
      <c r="G27" s="441"/>
      <c r="H27" s="440"/>
      <c r="I27" s="441"/>
      <c r="J27" s="440"/>
      <c r="K27" s="93"/>
      <c r="L27" s="93"/>
      <c r="M27" s="93"/>
      <c r="N27" s="93"/>
      <c r="O27" s="441"/>
      <c r="P27" s="440"/>
      <c r="Q27" s="441"/>
      <c r="R27" s="440"/>
      <c r="S27" s="441"/>
      <c r="T27" s="440"/>
    </row>
    <row r="28" spans="1:31" s="433" customFormat="1">
      <c r="A28" s="432"/>
      <c r="D28" s="442"/>
      <c r="E28" s="442"/>
      <c r="F28" s="442"/>
      <c r="G28" s="442"/>
      <c r="H28" s="442"/>
      <c r="I28" s="442"/>
      <c r="J28" s="442"/>
      <c r="K28" s="93"/>
      <c r="L28" s="93"/>
      <c r="M28" s="93"/>
      <c r="N28" s="93"/>
      <c r="O28" s="442"/>
      <c r="P28" s="442"/>
      <c r="Q28" s="442"/>
      <c r="R28" s="442"/>
      <c r="S28" s="442"/>
      <c r="T28" s="442"/>
    </row>
    <row r="29" spans="1:31" s="433" customFormat="1">
      <c r="A29" s="432"/>
      <c r="K29" s="93"/>
      <c r="L29" s="93"/>
      <c r="M29" s="93"/>
      <c r="N29" s="93"/>
    </row>
  </sheetData>
  <mergeCells count="25">
    <mergeCell ref="A2:AD2"/>
    <mergeCell ref="A3:AD3"/>
    <mergeCell ref="A5:A8"/>
    <mergeCell ref="B5:B8"/>
    <mergeCell ref="C5:C8"/>
    <mergeCell ref="D5:D8"/>
    <mergeCell ref="G5:AD5"/>
    <mergeCell ref="G6:J6"/>
    <mergeCell ref="K6:N6"/>
    <mergeCell ref="O6:R6"/>
    <mergeCell ref="S6:V6"/>
    <mergeCell ref="W6:Z6"/>
    <mergeCell ref="AA6:AD6"/>
    <mergeCell ref="AC7:AD7"/>
    <mergeCell ref="G7:H7"/>
    <mergeCell ref="I7:J7"/>
    <mergeCell ref="U7:V7"/>
    <mergeCell ref="W7:X7"/>
    <mergeCell ref="Y7:Z7"/>
    <mergeCell ref="AA7:AB7"/>
    <mergeCell ref="K7:L7"/>
    <mergeCell ref="M7:N7"/>
    <mergeCell ref="O7:P7"/>
    <mergeCell ref="Q7:R7"/>
    <mergeCell ref="S7:T7"/>
  </mergeCells>
  <pageMargins left="0.15748031496062992" right="0.15748031496062992" top="0.74803149606299213" bottom="0.23622047244094491" header="0.15748031496062992" footer="0.15748031496062992"/>
  <pageSetup paperSize="9" scale="9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10</vt:i4>
      </vt:variant>
    </vt:vector>
  </HeadingPairs>
  <TitlesOfParts>
    <vt:vector size="32" baseType="lpstr">
      <vt:lpstr>Бух баланс</vt:lpstr>
      <vt:lpstr>Мол нат</vt:lpstr>
      <vt:lpstr>Лист1</vt:lpstr>
      <vt:lpstr>25 АПК</vt:lpstr>
      <vt:lpstr>Товар продукц</vt:lpstr>
      <vt:lpstr>Вспом-1</vt:lpstr>
      <vt:lpstr>Вспом-2</vt:lpstr>
      <vt:lpstr>Баланс продукции</vt:lpstr>
      <vt:lpstr>Вспом-1 Ур</vt:lpstr>
      <vt:lpstr>Вспом-2 Ур</vt:lpstr>
      <vt:lpstr>73-ХЛ</vt:lpstr>
      <vt:lpstr>Отклон</vt:lpstr>
      <vt:lpstr>Тех экон пок</vt:lpstr>
      <vt:lpstr>тола бал</vt:lpstr>
      <vt:lpstr>линт бал.</vt:lpstr>
      <vt:lpstr>улбк бал.</vt:lpstr>
      <vt:lpstr>пух бал.</vt:lpstr>
      <vt:lpstr>техчигит бал</vt:lpstr>
      <vt:lpstr>уругл бал</vt:lpstr>
      <vt:lpstr>уруг олди-берди</vt:lpstr>
      <vt:lpstr>уруг хуж</vt:lpstr>
      <vt:lpstr>Мол натга илова</vt:lpstr>
      <vt:lpstr>'Мол нат'!Заголовки_для_печати</vt:lpstr>
      <vt:lpstr>'Мол натга илова'!Заголовки_для_печати</vt:lpstr>
      <vt:lpstr>'уруг олди-берди'!Заголовки_для_печати</vt:lpstr>
      <vt:lpstr>'уруг хуж'!Заголовки_для_печати</vt:lpstr>
      <vt:lpstr>'73-ХЛ'!Область_печати</vt:lpstr>
      <vt:lpstr>'Вспом-2'!Область_печати</vt:lpstr>
      <vt:lpstr>'Вспом-2 Ур'!Область_печати</vt:lpstr>
      <vt:lpstr>'Мол натга илова'!Область_печати</vt:lpstr>
      <vt:lpstr>Отклон!Область_печати</vt:lpstr>
      <vt:lpstr>'Тех экон пок'!Область_печати</vt:lpstr>
    </vt:vector>
  </TitlesOfParts>
  <Company>demo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2023-02-16T08:57:42Z</cp:lastPrinted>
  <dcterms:created xsi:type="dcterms:W3CDTF">2003-01-11T12:26:56Z</dcterms:created>
  <dcterms:modified xsi:type="dcterms:W3CDTF">2023-07-26T05:17:44Z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C15130A">
    <vt:lpwstr/>
  </property>
  <property fmtid="{D5CDD505-2E9C-101B-9397-08002B2CF9AE}" pid="3" name="IVIDD2510D2">
    <vt:lpwstr/>
  </property>
  <property fmtid="{D5CDD505-2E9C-101B-9397-08002B2CF9AE}" pid="4" name="IVID150C0FEC">
    <vt:lpwstr/>
  </property>
  <property fmtid="{D5CDD505-2E9C-101B-9397-08002B2CF9AE}" pid="5" name="IVID3E2312D9">
    <vt:lpwstr/>
  </property>
  <property fmtid="{D5CDD505-2E9C-101B-9397-08002B2CF9AE}" pid="6" name="IVID346E14FF">
    <vt:lpwstr/>
  </property>
  <property fmtid="{D5CDD505-2E9C-101B-9397-08002B2CF9AE}" pid="7" name="IVID55C1E08">
    <vt:lpwstr/>
  </property>
  <property fmtid="{D5CDD505-2E9C-101B-9397-08002B2CF9AE}" pid="8" name="IVID32561AE7">
    <vt:lpwstr/>
  </property>
  <property fmtid="{D5CDD505-2E9C-101B-9397-08002B2CF9AE}" pid="9" name="IVID3E4A12D1">
    <vt:lpwstr/>
  </property>
  <property fmtid="{D5CDD505-2E9C-101B-9397-08002B2CF9AE}" pid="10" name="IVID43841DF3">
    <vt:lpwstr/>
  </property>
  <property fmtid="{D5CDD505-2E9C-101B-9397-08002B2CF9AE}" pid="11" name="IVID2C3F0FFF">
    <vt:lpwstr/>
  </property>
  <property fmtid="{D5CDD505-2E9C-101B-9397-08002B2CF9AE}" pid="12" name="IVID11741200">
    <vt:lpwstr/>
  </property>
  <property fmtid="{D5CDD505-2E9C-101B-9397-08002B2CF9AE}" pid="13" name="IVID19680219">
    <vt:lpwstr/>
  </property>
  <property fmtid="{D5CDD505-2E9C-101B-9397-08002B2CF9AE}" pid="14" name="IVID16ED1760">
    <vt:lpwstr/>
  </property>
  <property fmtid="{D5CDD505-2E9C-101B-9397-08002B2CF9AE}" pid="15" name="IVID2F1807F5">
    <vt:lpwstr/>
  </property>
  <property fmtid="{D5CDD505-2E9C-101B-9397-08002B2CF9AE}" pid="16" name="IVID205312EE">
    <vt:lpwstr/>
  </property>
  <property fmtid="{D5CDD505-2E9C-101B-9397-08002B2CF9AE}" pid="17" name="IVID1F3419F2">
    <vt:lpwstr/>
  </property>
  <property fmtid="{D5CDD505-2E9C-101B-9397-08002B2CF9AE}" pid="18" name="IVIDD3513D6">
    <vt:lpwstr/>
  </property>
  <property fmtid="{D5CDD505-2E9C-101B-9397-08002B2CF9AE}" pid="19" name="IVID102117EF">
    <vt:lpwstr/>
  </property>
  <property fmtid="{D5CDD505-2E9C-101B-9397-08002B2CF9AE}" pid="20" name="IVID1E5018DB">
    <vt:lpwstr/>
  </property>
  <property fmtid="{D5CDD505-2E9C-101B-9397-08002B2CF9AE}" pid="21" name="IVID1B2B0ADE">
    <vt:lpwstr/>
  </property>
  <property fmtid="{D5CDD505-2E9C-101B-9397-08002B2CF9AE}" pid="22" name="IVID1CD5">
    <vt:lpwstr/>
  </property>
  <property fmtid="{D5CDD505-2E9C-101B-9397-08002B2CF9AE}" pid="23" name="IVID13EE4346">
    <vt:lpwstr/>
  </property>
  <property fmtid="{D5CDD505-2E9C-101B-9397-08002B2CF9AE}" pid="24" name="IVID17FC385E">
    <vt:lpwstr/>
  </property>
  <property fmtid="{D5CDD505-2E9C-101B-9397-08002B2CF9AE}" pid="25" name="IVID2F4717EA">
    <vt:lpwstr/>
  </property>
</Properties>
</file>